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AlgorithmName="SHA-512" workbookHashValue="yuZfXgQqd0N1IECR2c5txRa/800glb69p0783QyDy5U3gxTw1kdSMrlROTOeqKsTAl18C7IBzb2ezDHrc+RlCQ==" workbookSaltValue="O8xHjDjDnl33x0vEPgtWLg==" workbookSpinCount="100000" lockStructure="1"/>
  <bookViews>
    <workbookView xWindow="-120" yWindow="-120" windowWidth="19420" windowHeight="11020"/>
  </bookViews>
  <sheets>
    <sheet name="Recalculation table" sheetId="6" r:id="rId1"/>
    <sheet name="Nová data tabulka Exact" sheetId="5" state="hidden" r:id="rId2"/>
  </sheets>
  <definedNames>
    <definedName name="_xlnm.Print_Area" localSheetId="1">'Nová data tabulka Exact'!$L$1:$N$34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6" i="5" l="1"/>
  <c r="G15" i="5"/>
  <c r="Q1" i="5" l="1"/>
  <c r="U2" i="5" s="1"/>
  <c r="R1" i="5"/>
  <c r="U3" i="5" s="1"/>
  <c r="P1" i="5"/>
  <c r="A15" i="5"/>
  <c r="U1" i="5" l="1"/>
  <c r="C3" i="6"/>
  <c r="I17" i="6"/>
  <c r="U8" i="5"/>
  <c r="U7" i="5"/>
  <c r="D27" i="6"/>
  <c r="D21" i="6" s="1"/>
  <c r="G27" i="6"/>
  <c r="G21" i="6" s="1"/>
  <c r="F27" i="6"/>
  <c r="F24" i="6" s="1"/>
  <c r="E27" i="6"/>
  <c r="E21" i="6" s="1"/>
  <c r="M6" i="6"/>
  <c r="V6" i="5"/>
  <c r="U6" i="5" l="1"/>
  <c r="U5" i="5" s="1"/>
  <c r="D67" i="6"/>
  <c r="D54" i="6"/>
  <c r="D35" i="6"/>
  <c r="D59" i="6"/>
  <c r="D75" i="6"/>
  <c r="D45" i="6"/>
  <c r="G77" i="6"/>
  <c r="F75" i="6"/>
  <c r="F68" i="6"/>
  <c r="F65" i="6"/>
  <c r="F40" i="6"/>
  <c r="F71" i="6"/>
  <c r="F64" i="6"/>
  <c r="F53" i="6"/>
  <c r="F45" i="6"/>
  <c r="F76" i="6"/>
  <c r="F73" i="6"/>
  <c r="F69" i="6"/>
  <c r="F66" i="6"/>
  <c r="F61" i="6"/>
  <c r="F55" i="6"/>
  <c r="F48" i="6"/>
  <c r="F42" i="6"/>
  <c r="F72" i="6"/>
  <c r="F47" i="6"/>
  <c r="F67" i="6"/>
  <c r="F58" i="6"/>
  <c r="F37" i="6"/>
  <c r="F77" i="6"/>
  <c r="F74" i="6"/>
  <c r="F70" i="6"/>
  <c r="F63" i="6"/>
  <c r="F56" i="6"/>
  <c r="F51" i="6"/>
  <c r="D52" i="6"/>
  <c r="D47" i="6"/>
  <c r="D61" i="6"/>
  <c r="D38" i="6"/>
  <c r="G49" i="6"/>
  <c r="G45" i="6"/>
  <c r="G65" i="6"/>
  <c r="G61" i="6"/>
  <c r="G76" i="6"/>
  <c r="G69" i="6"/>
  <c r="G73" i="6"/>
  <c r="G57" i="6"/>
  <c r="G53" i="6"/>
  <c r="F50" i="6"/>
  <c r="F43" i="6"/>
  <c r="F39" i="6"/>
  <c r="G41" i="6"/>
  <c r="G37" i="6"/>
  <c r="F62" i="6"/>
  <c r="F60" i="6"/>
  <c r="F54" i="6"/>
  <c r="F52" i="6"/>
  <c r="F38" i="6"/>
  <c r="F59" i="6"/>
  <c r="F57" i="6"/>
  <c r="F49" i="6"/>
  <c r="F46" i="6"/>
  <c r="F44" i="6"/>
  <c r="F41" i="6"/>
  <c r="D76" i="6"/>
  <c r="D62" i="6"/>
  <c r="D51" i="6"/>
  <c r="D46" i="6"/>
  <c r="E62" i="6"/>
  <c r="D43" i="6"/>
  <c r="D28" i="6"/>
  <c r="D77" i="6"/>
  <c r="D70" i="6"/>
  <c r="D68" i="6"/>
  <c r="D63" i="6"/>
  <c r="D60" i="6"/>
  <c r="D44" i="6"/>
  <c r="D37" i="6"/>
  <c r="E46" i="6"/>
  <c r="E69" i="6"/>
  <c r="D33" i="6"/>
  <c r="D31" i="6"/>
  <c r="E72" i="6"/>
  <c r="D71" i="6"/>
  <c r="D69" i="6"/>
  <c r="D64" i="6"/>
  <c r="E56" i="6"/>
  <c r="D55" i="6"/>
  <c r="D53" i="6"/>
  <c r="D48" i="6"/>
  <c r="E40" i="6"/>
  <c r="D39" i="6"/>
  <c r="D30" i="6"/>
  <c r="E53" i="6"/>
  <c r="E75" i="6"/>
  <c r="D74" i="6"/>
  <c r="D73" i="6"/>
  <c r="D72" i="6"/>
  <c r="D66" i="6"/>
  <c r="D65" i="6"/>
  <c r="E59" i="6"/>
  <c r="D58" i="6"/>
  <c r="D57" i="6"/>
  <c r="D56" i="6"/>
  <c r="D50" i="6"/>
  <c r="D49" i="6"/>
  <c r="E43" i="6"/>
  <c r="D42" i="6"/>
  <c r="D41" i="6"/>
  <c r="D40" i="6"/>
  <c r="D36" i="6"/>
  <c r="D34" i="6"/>
  <c r="D32" i="6"/>
  <c r="D29" i="6"/>
  <c r="E30" i="6"/>
  <c r="E77" i="6"/>
  <c r="E74" i="6"/>
  <c r="E71" i="6"/>
  <c r="E68" i="6"/>
  <c r="E65" i="6"/>
  <c r="E58" i="6"/>
  <c r="E55" i="6"/>
  <c r="E52" i="6"/>
  <c r="E49" i="6"/>
  <c r="E42" i="6"/>
  <c r="E39" i="6"/>
  <c r="E32" i="6"/>
  <c r="E31" i="6"/>
  <c r="E70" i="6"/>
  <c r="E67" i="6"/>
  <c r="E64" i="6"/>
  <c r="E61" i="6"/>
  <c r="E54" i="6"/>
  <c r="E51" i="6"/>
  <c r="E48" i="6"/>
  <c r="E45" i="6"/>
  <c r="E38" i="6"/>
  <c r="E34" i="6"/>
  <c r="E33" i="6"/>
  <c r="E28" i="6"/>
  <c r="E37" i="6"/>
  <c r="E29" i="6"/>
  <c r="E76" i="6"/>
  <c r="E73" i="6"/>
  <c r="E66" i="6"/>
  <c r="E63" i="6"/>
  <c r="E60" i="6"/>
  <c r="E57" i="6"/>
  <c r="E50" i="6"/>
  <c r="E47" i="6"/>
  <c r="E44" i="6"/>
  <c r="E41" i="6"/>
  <c r="E36" i="6"/>
  <c r="E35" i="6"/>
  <c r="G74" i="6"/>
  <c r="G70" i="6"/>
  <c r="G66" i="6"/>
  <c r="G62" i="6"/>
  <c r="G58" i="6"/>
  <c r="G54" i="6"/>
  <c r="G50" i="6"/>
  <c r="G46" i="6"/>
  <c r="G42" i="6"/>
  <c r="G38" i="6"/>
  <c r="G35" i="6"/>
  <c r="G33" i="6"/>
  <c r="G31" i="6"/>
  <c r="G29" i="6"/>
  <c r="G75" i="6"/>
  <c r="G71" i="6"/>
  <c r="G67" i="6"/>
  <c r="G63" i="6"/>
  <c r="G59" i="6"/>
  <c r="G55" i="6"/>
  <c r="G51" i="6"/>
  <c r="G47" i="6"/>
  <c r="G43" i="6"/>
  <c r="G39" i="6"/>
  <c r="G28" i="6"/>
  <c r="G72" i="6"/>
  <c r="G68" i="6"/>
  <c r="G64" i="6"/>
  <c r="G60" i="6"/>
  <c r="G56" i="6"/>
  <c r="G52" i="6"/>
  <c r="G48" i="6"/>
  <c r="G44" i="6"/>
  <c r="G40" i="6"/>
  <c r="G36" i="6"/>
  <c r="G34" i="6"/>
  <c r="G32" i="6"/>
  <c r="G30" i="6"/>
  <c r="F28" i="6"/>
  <c r="F25" i="6"/>
  <c r="F21" i="6"/>
  <c r="G26" i="6"/>
  <c r="G25" i="6"/>
  <c r="G24" i="6"/>
  <c r="G23" i="6"/>
  <c r="G22" i="6"/>
  <c r="F36" i="6"/>
  <c r="F35" i="6"/>
  <c r="F34" i="6"/>
  <c r="F33" i="6"/>
  <c r="F32" i="6"/>
  <c r="F31" i="6"/>
  <c r="F30" i="6"/>
  <c r="F29" i="6"/>
  <c r="F26" i="6"/>
  <c r="F23" i="6"/>
  <c r="F22" i="6"/>
  <c r="E26" i="6"/>
  <c r="E25" i="6"/>
  <c r="E24" i="6"/>
  <c r="E23" i="6"/>
  <c r="E22" i="6"/>
  <c r="D26" i="6"/>
  <c r="D25" i="6"/>
  <c r="D24" i="6"/>
  <c r="D23" i="6"/>
  <c r="D22" i="6"/>
  <c r="G14" i="6" l="1"/>
  <c r="G13" i="6"/>
  <c r="C13" i="6"/>
  <c r="X4" i="5"/>
  <c r="Z4" i="5" s="1"/>
  <c r="U4" i="5"/>
  <c r="G11" i="6" l="1"/>
  <c r="G9" i="6"/>
  <c r="G8" i="6"/>
  <c r="G10" i="6"/>
  <c r="C8" i="6"/>
  <c r="K27" i="6"/>
  <c r="M27" i="6"/>
  <c r="L27" i="6"/>
  <c r="J27" i="6"/>
  <c r="M67" i="6" l="1"/>
  <c r="S67" i="6" s="1"/>
  <c r="S27" i="6"/>
  <c r="K36" i="6"/>
  <c r="Q36" i="6" s="1"/>
  <c r="Q27" i="6"/>
  <c r="J30" i="6"/>
  <c r="P30" i="6" s="1"/>
  <c r="P27" i="6"/>
  <c r="L25" i="6"/>
  <c r="R25" i="6" s="1"/>
  <c r="R27" i="6"/>
  <c r="K54" i="6"/>
  <c r="Q54" i="6" s="1"/>
  <c r="K47" i="6"/>
  <c r="Q47" i="6" s="1"/>
  <c r="K37" i="6"/>
  <c r="Q37" i="6" s="1"/>
  <c r="K55" i="6"/>
  <c r="Q55" i="6" s="1"/>
  <c r="K62" i="6"/>
  <c r="Q62" i="6" s="1"/>
  <c r="K59" i="6"/>
  <c r="Q59" i="6" s="1"/>
  <c r="K41" i="6"/>
  <c r="Q41" i="6" s="1"/>
  <c r="K24" i="6"/>
  <c r="Q24" i="6" s="1"/>
  <c r="K56" i="6"/>
  <c r="Q56" i="6" s="1"/>
  <c r="K44" i="6"/>
  <c r="Q44" i="6" s="1"/>
  <c r="K65" i="6"/>
  <c r="Q65" i="6" s="1"/>
  <c r="K67" i="6"/>
  <c r="Q67" i="6" s="1"/>
  <c r="K46" i="6"/>
  <c r="Q46" i="6" s="1"/>
  <c r="K48" i="6"/>
  <c r="Q48" i="6" s="1"/>
  <c r="K61" i="6"/>
  <c r="Q61" i="6" s="1"/>
  <c r="K23" i="6"/>
  <c r="Q23" i="6" s="1"/>
  <c r="K26" i="6"/>
  <c r="Q26" i="6" s="1"/>
  <c r="K72" i="6"/>
  <c r="Q72" i="6" s="1"/>
  <c r="K42" i="6"/>
  <c r="Q42" i="6" s="1"/>
  <c r="K74" i="6"/>
  <c r="Q74" i="6" s="1"/>
  <c r="K35" i="6"/>
  <c r="Q35" i="6" s="1"/>
  <c r="K51" i="6"/>
  <c r="Q51" i="6" s="1"/>
  <c r="K68" i="6"/>
  <c r="Q68" i="6" s="1"/>
  <c r="K53" i="6"/>
  <c r="Q53" i="6" s="1"/>
  <c r="K45" i="6"/>
  <c r="Q45" i="6" s="1"/>
  <c r="K25" i="6"/>
  <c r="Q25" i="6" s="1"/>
  <c r="K58" i="6"/>
  <c r="Q58" i="6" s="1"/>
  <c r="K38" i="6"/>
  <c r="Q38" i="6" s="1"/>
  <c r="K63" i="6"/>
  <c r="Q63" i="6" s="1"/>
  <c r="K71" i="6"/>
  <c r="Q71" i="6" s="1"/>
  <c r="K31" i="6"/>
  <c r="Q31" i="6" s="1"/>
  <c r="K29" i="6"/>
  <c r="Q29" i="6" s="1"/>
  <c r="K75" i="6"/>
  <c r="Q75" i="6" s="1"/>
  <c r="K73" i="6"/>
  <c r="Q73" i="6" s="1"/>
  <c r="K22" i="6"/>
  <c r="Q22" i="6" s="1"/>
  <c r="K64" i="6"/>
  <c r="Q64" i="6" s="1"/>
  <c r="M59" i="6"/>
  <c r="S59" i="6" s="1"/>
  <c r="K40" i="6"/>
  <c r="Q40" i="6" s="1"/>
  <c r="K70" i="6"/>
  <c r="Q70" i="6" s="1"/>
  <c r="K49" i="6"/>
  <c r="Q49" i="6" s="1"/>
  <c r="K39" i="6"/>
  <c r="Q39" i="6" s="1"/>
  <c r="K77" i="6"/>
  <c r="Q77" i="6" s="1"/>
  <c r="K52" i="6"/>
  <c r="Q52" i="6" s="1"/>
  <c r="K21" i="6"/>
  <c r="Q21" i="6" s="1"/>
  <c r="K66" i="6"/>
  <c r="Q66" i="6" s="1"/>
  <c r="K57" i="6"/>
  <c r="Q57" i="6" s="1"/>
  <c r="K34" i="6"/>
  <c r="Q34" i="6" s="1"/>
  <c r="M40" i="6"/>
  <c r="S40" i="6" s="1"/>
  <c r="M76" i="6"/>
  <c r="S76" i="6" s="1"/>
  <c r="M72" i="6"/>
  <c r="S72" i="6" s="1"/>
  <c r="M54" i="6"/>
  <c r="S54" i="6" s="1"/>
  <c r="K33" i="6"/>
  <c r="Q33" i="6" s="1"/>
  <c r="K60" i="6"/>
  <c r="Q60" i="6" s="1"/>
  <c r="K69" i="6"/>
  <c r="Q69" i="6" s="1"/>
  <c r="K76" i="6"/>
  <c r="Q76" i="6" s="1"/>
  <c r="K32" i="6"/>
  <c r="Q32" i="6" s="1"/>
  <c r="K43" i="6"/>
  <c r="Q43" i="6" s="1"/>
  <c r="K50" i="6"/>
  <c r="Q50" i="6" s="1"/>
  <c r="K28" i="6"/>
  <c r="Q28" i="6" s="1"/>
  <c r="K30" i="6"/>
  <c r="Q30" i="6" s="1"/>
  <c r="M57" i="6"/>
  <c r="S57" i="6" s="1"/>
  <c r="M24" i="6"/>
  <c r="S24" i="6" s="1"/>
  <c r="M74" i="6"/>
  <c r="S74" i="6" s="1"/>
  <c r="M69" i="6"/>
  <c r="S69" i="6" s="1"/>
  <c r="M68" i="6"/>
  <c r="S68" i="6" s="1"/>
  <c r="M22" i="6"/>
  <c r="S22" i="6" s="1"/>
  <c r="M63" i="6"/>
  <c r="S63" i="6" s="1"/>
  <c r="M42" i="6"/>
  <c r="S42" i="6" s="1"/>
  <c r="M62" i="6"/>
  <c r="S62" i="6" s="1"/>
  <c r="M58" i="6"/>
  <c r="S58" i="6" s="1"/>
  <c r="M43" i="6"/>
  <c r="S43" i="6" s="1"/>
  <c r="M53" i="6"/>
  <c r="S53" i="6" s="1"/>
  <c r="M29" i="6"/>
  <c r="S29" i="6" s="1"/>
  <c r="M36" i="6"/>
  <c r="S36" i="6" s="1"/>
  <c r="M52" i="6"/>
  <c r="S52" i="6" s="1"/>
  <c r="M51" i="6"/>
  <c r="S51" i="6" s="1"/>
  <c r="M77" i="6"/>
  <c r="S77" i="6" s="1"/>
  <c r="M48" i="6"/>
  <c r="S48" i="6" s="1"/>
  <c r="M47" i="6"/>
  <c r="S47" i="6" s="1"/>
  <c r="M23" i="6"/>
  <c r="S23" i="6" s="1"/>
  <c r="M56" i="6"/>
  <c r="S56" i="6" s="1"/>
  <c r="M26" i="6"/>
  <c r="S26" i="6" s="1"/>
  <c r="M60" i="6"/>
  <c r="S60" i="6" s="1"/>
  <c r="M71" i="6"/>
  <c r="S71" i="6" s="1"/>
  <c r="M28" i="6"/>
  <c r="S28" i="6" s="1"/>
  <c r="M50" i="6"/>
  <c r="S50" i="6" s="1"/>
  <c r="M21" i="6"/>
  <c r="S21" i="6" s="1"/>
  <c r="M45" i="6"/>
  <c r="S45" i="6" s="1"/>
  <c r="M73" i="6"/>
  <c r="S73" i="6" s="1"/>
  <c r="M61" i="6"/>
  <c r="S61" i="6" s="1"/>
  <c r="M32" i="6"/>
  <c r="S32" i="6" s="1"/>
  <c r="M31" i="6"/>
  <c r="S31" i="6" s="1"/>
  <c r="M30" i="6"/>
  <c r="S30" i="6" s="1"/>
  <c r="M70" i="6"/>
  <c r="S70" i="6" s="1"/>
  <c r="M55" i="6"/>
  <c r="S55" i="6" s="1"/>
  <c r="M49" i="6"/>
  <c r="S49" i="6" s="1"/>
  <c r="M35" i="6"/>
  <c r="S35" i="6" s="1"/>
  <c r="M25" i="6"/>
  <c r="S25" i="6" s="1"/>
  <c r="J48" i="6"/>
  <c r="P48" i="6" s="1"/>
  <c r="J73" i="6"/>
  <c r="P73" i="6" s="1"/>
  <c r="J55" i="6"/>
  <c r="P55" i="6" s="1"/>
  <c r="J33" i="6"/>
  <c r="P33" i="6" s="1"/>
  <c r="J40" i="6"/>
  <c r="P40" i="6" s="1"/>
  <c r="J36" i="6"/>
  <c r="P36" i="6" s="1"/>
  <c r="J58" i="6"/>
  <c r="P58" i="6" s="1"/>
  <c r="J26" i="6"/>
  <c r="P26" i="6" s="1"/>
  <c r="J60" i="6"/>
  <c r="P60" i="6" s="1"/>
  <c r="J39" i="6"/>
  <c r="P39" i="6" s="1"/>
  <c r="J38" i="6"/>
  <c r="P38" i="6" s="1"/>
  <c r="J66" i="6"/>
  <c r="P66" i="6" s="1"/>
  <c r="J32" i="6"/>
  <c r="P32" i="6" s="1"/>
  <c r="J42" i="6"/>
  <c r="P42" i="6" s="1"/>
  <c r="J75" i="6"/>
  <c r="P75" i="6" s="1"/>
  <c r="J23" i="6"/>
  <c r="P23" i="6" s="1"/>
  <c r="J72" i="6"/>
  <c r="P72" i="6" s="1"/>
  <c r="J29" i="6"/>
  <c r="P29" i="6" s="1"/>
  <c r="J61" i="6"/>
  <c r="P61" i="6" s="1"/>
  <c r="J41" i="6"/>
  <c r="P41" i="6" s="1"/>
  <c r="J47" i="6"/>
  <c r="P47" i="6" s="1"/>
  <c r="J74" i="6"/>
  <c r="P74" i="6" s="1"/>
  <c r="J34" i="6"/>
  <c r="P34" i="6" s="1"/>
  <c r="J43" i="6"/>
  <c r="P43" i="6" s="1"/>
  <c r="J24" i="6"/>
  <c r="P24" i="6" s="1"/>
  <c r="J53" i="6"/>
  <c r="P53" i="6" s="1"/>
  <c r="J35" i="6"/>
  <c r="P35" i="6" s="1"/>
  <c r="J21" i="6"/>
  <c r="P21" i="6" s="1"/>
  <c r="J37" i="6"/>
  <c r="P37" i="6" s="1"/>
  <c r="J70" i="6"/>
  <c r="P70" i="6" s="1"/>
  <c r="J52" i="6"/>
  <c r="P52" i="6" s="1"/>
  <c r="J28" i="6"/>
  <c r="P28" i="6" s="1"/>
  <c r="J50" i="6"/>
  <c r="P50" i="6" s="1"/>
  <c r="J71" i="6"/>
  <c r="P71" i="6" s="1"/>
  <c r="J68" i="6"/>
  <c r="P68" i="6" s="1"/>
  <c r="J56" i="6"/>
  <c r="P56" i="6" s="1"/>
  <c r="J45" i="6"/>
  <c r="P45" i="6" s="1"/>
  <c r="J77" i="6"/>
  <c r="P77" i="6" s="1"/>
  <c r="J25" i="6"/>
  <c r="P25" i="6" s="1"/>
  <c r="J67" i="6"/>
  <c r="P67" i="6" s="1"/>
  <c r="J57" i="6"/>
  <c r="P57" i="6" s="1"/>
  <c r="J54" i="6"/>
  <c r="P54" i="6" s="1"/>
  <c r="J59" i="6"/>
  <c r="P59" i="6" s="1"/>
  <c r="J62" i="6"/>
  <c r="P62" i="6" s="1"/>
  <c r="J51" i="6"/>
  <c r="P51" i="6" s="1"/>
  <c r="J64" i="6"/>
  <c r="P64" i="6" s="1"/>
  <c r="J46" i="6"/>
  <c r="P46" i="6" s="1"/>
  <c r="J31" i="6"/>
  <c r="P31" i="6" s="1"/>
  <c r="J22" i="6"/>
  <c r="P22" i="6" s="1"/>
  <c r="J69" i="6"/>
  <c r="P69" i="6" s="1"/>
  <c r="J65" i="6"/>
  <c r="P65" i="6" s="1"/>
  <c r="J63" i="6"/>
  <c r="P63" i="6" s="1"/>
  <c r="J49" i="6"/>
  <c r="P49" i="6" s="1"/>
  <c r="J44" i="6"/>
  <c r="P44" i="6" s="1"/>
  <c r="J76" i="6"/>
  <c r="P76" i="6" s="1"/>
  <c r="L74" i="6"/>
  <c r="R74" i="6" s="1"/>
  <c r="L46" i="6"/>
  <c r="R46" i="6" s="1"/>
  <c r="L38" i="6"/>
  <c r="R38" i="6" s="1"/>
  <c r="L65" i="6"/>
  <c r="R65" i="6" s="1"/>
  <c r="L72" i="6"/>
  <c r="R72" i="6" s="1"/>
  <c r="L77" i="6"/>
  <c r="R77" i="6" s="1"/>
  <c r="L56" i="6"/>
  <c r="R56" i="6" s="1"/>
  <c r="L26" i="6"/>
  <c r="R26" i="6" s="1"/>
  <c r="L49" i="6"/>
  <c r="R49" i="6" s="1"/>
  <c r="L29" i="6"/>
  <c r="R29" i="6" s="1"/>
  <c r="L73" i="6"/>
  <c r="R73" i="6" s="1"/>
  <c r="L36" i="6"/>
  <c r="R36" i="6" s="1"/>
  <c r="L44" i="6"/>
  <c r="R44" i="6" s="1"/>
  <c r="L61" i="6"/>
  <c r="R61" i="6" s="1"/>
  <c r="L34" i="6"/>
  <c r="R34" i="6" s="1"/>
  <c r="L59" i="6"/>
  <c r="R59" i="6" s="1"/>
  <c r="L67" i="6"/>
  <c r="R67" i="6" s="1"/>
  <c r="L30" i="6"/>
  <c r="R30" i="6" s="1"/>
  <c r="L52" i="6"/>
  <c r="R52" i="6" s="1"/>
  <c r="L43" i="6"/>
  <c r="R43" i="6" s="1"/>
  <c r="L23" i="6"/>
  <c r="R23" i="6" s="1"/>
  <c r="L75" i="6"/>
  <c r="R75" i="6" s="1"/>
  <c r="L63" i="6"/>
  <c r="R63" i="6" s="1"/>
  <c r="L69" i="6"/>
  <c r="R69" i="6" s="1"/>
  <c r="L47" i="6"/>
  <c r="R47" i="6" s="1"/>
  <c r="L32" i="6"/>
  <c r="R32" i="6" s="1"/>
  <c r="L22" i="6"/>
  <c r="R22" i="6" s="1"/>
  <c r="L54" i="6"/>
  <c r="R54" i="6" s="1"/>
  <c r="M46" i="6"/>
  <c r="S46" i="6" s="1"/>
  <c r="M41" i="6"/>
  <c r="S41" i="6" s="1"/>
  <c r="M34" i="6"/>
  <c r="S34" i="6" s="1"/>
  <c r="M33" i="6"/>
  <c r="S33" i="6" s="1"/>
  <c r="M64" i="6"/>
  <c r="S64" i="6" s="1"/>
  <c r="M75" i="6"/>
  <c r="S75" i="6" s="1"/>
  <c r="M44" i="6"/>
  <c r="S44" i="6" s="1"/>
  <c r="M37" i="6"/>
  <c r="S37" i="6" s="1"/>
  <c r="M38" i="6"/>
  <c r="S38" i="6" s="1"/>
  <c r="M39" i="6"/>
  <c r="S39" i="6" s="1"/>
  <c r="M65" i="6"/>
  <c r="S65" i="6" s="1"/>
  <c r="M66" i="6"/>
  <c r="S66" i="6" s="1"/>
  <c r="L53" i="6"/>
  <c r="R53" i="6" s="1"/>
  <c r="L71" i="6"/>
  <c r="R71" i="6" s="1"/>
  <c r="L37" i="6"/>
  <c r="R37" i="6" s="1"/>
  <c r="L70" i="6"/>
  <c r="R70" i="6" s="1"/>
  <c r="L60" i="6"/>
  <c r="R60" i="6" s="1"/>
  <c r="L40" i="6"/>
  <c r="R40" i="6" s="1"/>
  <c r="L76" i="6"/>
  <c r="R76" i="6" s="1"/>
  <c r="L35" i="6"/>
  <c r="R35" i="6" s="1"/>
  <c r="L58" i="6"/>
  <c r="R58" i="6" s="1"/>
  <c r="L57" i="6"/>
  <c r="R57" i="6" s="1"/>
  <c r="L33" i="6"/>
  <c r="R33" i="6" s="1"/>
  <c r="L24" i="6"/>
  <c r="R24" i="6" s="1"/>
  <c r="L55" i="6"/>
  <c r="R55" i="6" s="1"/>
  <c r="L64" i="6"/>
  <c r="R64" i="6" s="1"/>
  <c r="L62" i="6"/>
  <c r="R62" i="6" s="1"/>
  <c r="L68" i="6"/>
  <c r="R68" i="6" s="1"/>
  <c r="L41" i="6"/>
  <c r="R41" i="6" s="1"/>
  <c r="L31" i="6"/>
  <c r="R31" i="6" s="1"/>
  <c r="L39" i="6"/>
  <c r="R39" i="6" s="1"/>
  <c r="L42" i="6"/>
  <c r="R42" i="6" s="1"/>
  <c r="L45" i="6"/>
  <c r="R45" i="6" s="1"/>
  <c r="L28" i="6"/>
  <c r="R28" i="6" s="1"/>
  <c r="L50" i="6"/>
  <c r="R50" i="6" s="1"/>
  <c r="L48" i="6"/>
  <c r="R48" i="6" s="1"/>
  <c r="L66" i="6"/>
  <c r="R66" i="6" s="1"/>
  <c r="L21" i="6"/>
  <c r="R21" i="6" s="1"/>
  <c r="L51" i="6"/>
  <c r="R51" i="6" s="1"/>
  <c r="S19" i="6" l="1"/>
  <c r="Q19" i="6"/>
</calcChain>
</file>

<file path=xl/sharedStrings.xml><?xml version="1.0" encoding="utf-8"?>
<sst xmlns="http://schemas.openxmlformats.org/spreadsheetml/2006/main" count="83" uniqueCount="79">
  <si>
    <t>K21-140</t>
  </si>
  <si>
    <t>K21-210</t>
  </si>
  <si>
    <t>K21-280</t>
  </si>
  <si>
    <t>K21-070</t>
  </si>
  <si>
    <t>K32-070</t>
  </si>
  <si>
    <t>K32-140</t>
  </si>
  <si>
    <t>K32-280</t>
  </si>
  <si>
    <t>K32-210</t>
  </si>
  <si>
    <t>K43-070</t>
  </si>
  <si>
    <t>K43-140</t>
  </si>
  <si>
    <t>K43-210</t>
  </si>
  <si>
    <t>K43-280</t>
  </si>
  <si>
    <t>K54-070</t>
  </si>
  <si>
    <t>K54-140</t>
  </si>
  <si>
    <t>K54-210</t>
  </si>
  <si>
    <t>K54-280</t>
  </si>
  <si>
    <t>ΔT 50K</t>
  </si>
  <si>
    <t xml:space="preserve">Exp. (n)* </t>
  </si>
  <si>
    <t>K44(W)-070</t>
  </si>
  <si>
    <t>K44(W)-140</t>
  </si>
  <si>
    <t>K44(W)-210</t>
  </si>
  <si>
    <t>K44(W)-280</t>
  </si>
  <si>
    <t>K55(W)-070</t>
  </si>
  <si>
    <t>K55(W)-140</t>
  </si>
  <si>
    <t>K55(W)-210</t>
  </si>
  <si>
    <t>K55(W)-280</t>
  </si>
  <si>
    <t>K33(W)-070</t>
  </si>
  <si>
    <t>K33(W)-140</t>
  </si>
  <si>
    <t>K33(W)-210</t>
  </si>
  <si>
    <t>K33(W)-280</t>
  </si>
  <si>
    <t>K22(W)-070</t>
  </si>
  <si>
    <t>K22(W)-140</t>
  </si>
  <si>
    <t>K22(W)-210</t>
  </si>
  <si>
    <t>K22(W)-280</t>
  </si>
  <si>
    <t>NOVÁ DATA SZU W/m</t>
  </si>
  <si>
    <t>Model</t>
  </si>
  <si>
    <t>EXACT</t>
  </si>
  <si>
    <t>K21</t>
  </si>
  <si>
    <t>K22</t>
  </si>
  <si>
    <t>K22W</t>
  </si>
  <si>
    <t>K32</t>
  </si>
  <si>
    <t>K33</t>
  </si>
  <si>
    <t>K33W</t>
  </si>
  <si>
    <t>K43</t>
  </si>
  <si>
    <t>K44</t>
  </si>
  <si>
    <t>K54</t>
  </si>
  <si>
    <t>K55</t>
  </si>
  <si>
    <t>K55W</t>
  </si>
  <si>
    <t>Teplota vstupní vody</t>
  </si>
  <si>
    <t>T1</t>
  </si>
  <si>
    <t>podmínka</t>
  </si>
  <si>
    <t>výsledek</t>
  </si>
  <si>
    <t>hledaná hodnota -5% až + 15%</t>
  </si>
  <si>
    <t>Teploty výstupní vody</t>
  </si>
  <si>
    <t>T2</t>
  </si>
  <si>
    <t>(T2-Ti)/(T1-Ti)</t>
  </si>
  <si>
    <t>&lt;0,7</t>
  </si>
  <si>
    <t>(T1-T2)/(ln((T1-Ti)/(T2-Ti))</t>
  </si>
  <si>
    <t>Výkon*(Výsledek/50)^Teplotní exponent</t>
  </si>
  <si>
    <t>Teplota místnosti</t>
  </si>
  <si>
    <t>Ti</t>
  </si>
  <si>
    <t>&gt;=0,7</t>
  </si>
  <si>
    <t>(T1+T2)/2-Ti</t>
  </si>
  <si>
    <t>kontrola teplotní spád</t>
  </si>
  <si>
    <t>kontrola hmotnostní průtok</t>
  </si>
  <si>
    <r>
      <t>ISAN Radiátory, s.r.o.</t>
    </r>
    <r>
      <rPr>
        <sz val="8"/>
        <rFont val="Arial"/>
        <family val="2"/>
        <charset val="238"/>
      </rPr>
      <t xml:space="preserve">
Poříčí 26, 678 33 Blansko
Czech Republic, www.isan.cz</t>
    </r>
  </si>
  <si>
    <t>K45</t>
  </si>
  <si>
    <t xml:space="preserve">T1&gt;T2&gt;Ti  </t>
  </si>
  <si>
    <t>min</t>
  </si>
  <si>
    <t>max</t>
  </si>
  <si>
    <t>Q[W] 75/65/20°C (ΔT=50°C)</t>
  </si>
  <si>
    <t>ORIENTATION RECALCULATION OF THE RADIANT CONVECTORS HEATING OUTPUT</t>
  </si>
  <si>
    <t>Type</t>
  </si>
  <si>
    <t>Input:</t>
  </si>
  <si>
    <t>Output:</t>
  </si>
  <si>
    <t>Room:</t>
  </si>
  <si>
    <t>Height [mm]</t>
  </si>
  <si>
    <t>Length [mm]</t>
  </si>
  <si>
    <t>Heating output [W]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</si>
</sst>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#,##0&quot;dB&quot;"/>
  </numFmts>
  <fonts count="15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12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6">
    <xf numFmtId="0" fontId="0" fillId="0" borderId="0" xfId="0"/>
    <xf numFmtId="0" fontId="4" fillId="0" borderId="4" xfId="0" applyFont="1" applyBorder="1" applyProtection="1">
      <protection hidden="1"/>
    </xf>
    <xf numFmtId="0" fontId="4" fillId="0" borderId="5" xfId="0" applyFont="1" applyBorder="1" applyProtection="1">
      <protection hidden="1"/>
    </xf>
    <xf numFmtId="0" fontId="4" fillId="0" borderId="5" xfId="0" applyFont="1" applyBorder="1" applyAlignment="1" applyProtection="1">
      <alignment horizontal="center"/>
      <protection hidden="1"/>
    </xf>
    <xf numFmtId="0" fontId="4" fillId="0" borderId="6" xfId="0" applyFont="1" applyBorder="1" applyProtection="1">
      <protection hidden="1"/>
    </xf>
    <xf numFmtId="0" fontId="4" fillId="0" borderId="7" xfId="0" applyFont="1" applyBorder="1" applyProtection="1">
      <protection hidden="1"/>
    </xf>
    <xf numFmtId="1" fontId="7" fillId="0" borderId="0" xfId="1" applyNumberFormat="1" applyFont="1" applyFill="1" applyBorder="1" applyAlignment="1" applyProtection="1">
      <alignment vertical="center" wrapText="1"/>
      <protection hidden="1"/>
    </xf>
    <xf numFmtId="1" fontId="7" fillId="0" borderId="8" xfId="1" applyNumberFormat="1" applyFont="1" applyFill="1" applyBorder="1" applyAlignment="1" applyProtection="1">
      <alignment vertical="center" wrapText="1"/>
      <protection hidden="1"/>
    </xf>
    <xf numFmtId="0" fontId="8" fillId="0" borderId="0" xfId="1" applyFont="1" applyBorder="1" applyAlignment="1" applyProtection="1">
      <alignment vertical="center" wrapText="1"/>
      <protection hidden="1"/>
    </xf>
    <xf numFmtId="0" fontId="8" fillId="0" borderId="8" xfId="1" applyFont="1" applyBorder="1" applyAlignment="1" applyProtection="1">
      <alignment vertical="center" wrapText="1"/>
      <protection hidden="1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1" fontId="0" fillId="0" borderId="0" xfId="0" applyNumberFormat="1" applyFont="1"/>
    <xf numFmtId="0" fontId="0" fillId="0" borderId="0" xfId="0" applyFont="1" applyFill="1"/>
    <xf numFmtId="1" fontId="10" fillId="0" borderId="1" xfId="1" applyNumberFormat="1" applyFont="1" applyFill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/>
    </xf>
    <xf numFmtId="1" fontId="10" fillId="0" borderId="1" xfId="0" applyNumberFormat="1" applyFont="1" applyFill="1" applyBorder="1" applyAlignment="1">
      <alignment horizontal="center" vertical="center" wrapText="1"/>
    </xf>
    <xf numFmtId="165" fontId="0" fillId="0" borderId="0" xfId="0" applyNumberFormat="1" applyFont="1" applyFill="1" applyBorder="1"/>
    <xf numFmtId="164" fontId="0" fillId="0" borderId="0" xfId="0" applyNumberFormat="1" applyFont="1" applyAlignment="1">
      <alignment horizontal="right"/>
    </xf>
    <xf numFmtId="2" fontId="0" fillId="0" borderId="0" xfId="0" applyNumberFormat="1" applyFont="1"/>
    <xf numFmtId="1" fontId="0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 horizontal="center"/>
    </xf>
    <xf numFmtId="1" fontId="0" fillId="0" borderId="0" xfId="0" applyNumberFormat="1" applyFont="1" applyFill="1"/>
    <xf numFmtId="1" fontId="0" fillId="0" borderId="0" xfId="0" applyNumberFormat="1" applyFont="1" applyAlignment="1">
      <alignment horizontal="right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64" fontId="10" fillId="0" borderId="0" xfId="0" applyNumberFormat="1" applyFont="1" applyFill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/>
    </xf>
    <xf numFmtId="164" fontId="10" fillId="0" borderId="0" xfId="0" applyNumberFormat="1" applyFont="1" applyFill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/>
    <xf numFmtId="0" fontId="11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1" applyFont="1" applyBorder="1" applyAlignment="1" applyProtection="1">
      <protection hidden="1"/>
    </xf>
    <xf numFmtId="0" fontId="12" fillId="0" borderId="16" xfId="1" applyFont="1" applyBorder="1" applyAlignment="1" applyProtection="1">
      <protection hidden="1"/>
    </xf>
    <xf numFmtId="0" fontId="12" fillId="0" borderId="13" xfId="0" applyFont="1" applyFill="1" applyBorder="1" applyAlignment="1" applyProtection="1">
      <alignment vertical="center"/>
      <protection hidden="1"/>
    </xf>
    <xf numFmtId="0" fontId="11" fillId="0" borderId="13" xfId="0" applyFont="1" applyFill="1" applyBorder="1" applyAlignment="1" applyProtection="1">
      <alignment vertical="center"/>
      <protection hidden="1"/>
    </xf>
    <xf numFmtId="164" fontId="0" fillId="0" borderId="0" xfId="0" applyNumberFormat="1" applyFont="1" applyAlignment="1">
      <alignment horizontal="center" vertical="center"/>
    </xf>
    <xf numFmtId="1" fontId="0" fillId="0" borderId="0" xfId="0" applyNumberFormat="1" applyFont="1" applyAlignment="1">
      <alignment vertical="center"/>
    </xf>
    <xf numFmtId="1" fontId="0" fillId="0" borderId="0" xfId="0" applyNumberFormat="1" applyFont="1" applyAlignment="1"/>
    <xf numFmtId="164" fontId="0" fillId="0" borderId="0" xfId="0" applyNumberFormat="1" applyFont="1" applyAlignment="1"/>
    <xf numFmtId="1" fontId="7" fillId="0" borderId="0" xfId="1" applyNumberFormat="1" applyFont="1" applyFill="1" applyBorder="1" applyAlignment="1" applyProtection="1">
      <alignment horizontal="right" vertical="center"/>
      <protection hidden="1"/>
    </xf>
    <xf numFmtId="2" fontId="12" fillId="3" borderId="18" xfId="0" applyNumberFormat="1" applyFont="1" applyFill="1" applyBorder="1" applyAlignment="1" applyProtection="1">
      <alignment horizontal="center" vertical="center"/>
      <protection hidden="1"/>
    </xf>
    <xf numFmtId="1" fontId="7" fillId="0" borderId="0" xfId="1" applyNumberFormat="1" applyFont="1" applyFill="1" applyBorder="1" applyAlignment="1" applyProtection="1">
      <alignment horizontal="center" vertical="center"/>
      <protection hidden="1"/>
    </xf>
    <xf numFmtId="0" fontId="11" fillId="0" borderId="16" xfId="0" applyFont="1" applyFill="1" applyBorder="1" applyAlignment="1" applyProtection="1">
      <alignment horizontal="center" vertical="center"/>
      <protection hidden="1"/>
    </xf>
    <xf numFmtId="1" fontId="0" fillId="0" borderId="0" xfId="0" applyNumberFormat="1" applyFont="1" applyFill="1" applyAlignment="1"/>
    <xf numFmtId="0" fontId="4" fillId="0" borderId="0" xfId="0" applyFont="1" applyFill="1" applyBorder="1" applyProtection="1">
      <protection hidden="1"/>
    </xf>
    <xf numFmtId="1" fontId="13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Protection="1">
      <protection hidden="1"/>
    </xf>
    <xf numFmtId="0" fontId="0" fillId="0" borderId="7" xfId="0" applyBorder="1" applyProtection="1">
      <protection hidden="1"/>
    </xf>
    <xf numFmtId="0" fontId="0" fillId="0" borderId="0" xfId="0" applyBorder="1" applyProtection="1">
      <protection hidden="1"/>
    </xf>
    <xf numFmtId="0" fontId="0" fillId="0" borderId="8" xfId="0" applyBorder="1" applyProtection="1">
      <protection hidden="1"/>
    </xf>
    <xf numFmtId="0" fontId="0" fillId="0" borderId="0" xfId="0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0" fillId="0" borderId="15" xfId="0" applyBorder="1" applyProtection="1">
      <protection hidden="1"/>
    </xf>
    <xf numFmtId="0" fontId="0" fillId="0" borderId="16" xfId="0" applyBorder="1" applyProtection="1">
      <protection hidden="1"/>
    </xf>
    <xf numFmtId="0" fontId="0" fillId="0" borderId="17" xfId="0" applyBorder="1" applyProtection="1">
      <protection hidden="1"/>
    </xf>
    <xf numFmtId="0" fontId="0" fillId="0" borderId="13" xfId="0" applyBorder="1" applyProtection="1">
      <protection hidden="1"/>
    </xf>
    <xf numFmtId="0" fontId="0" fillId="0" borderId="14" xfId="0" applyBorder="1" applyProtection="1">
      <protection hidden="1"/>
    </xf>
    <xf numFmtId="0" fontId="0" fillId="0" borderId="7" xfId="0" applyBorder="1" applyAlignment="1" applyProtection="1">
      <protection hidden="1"/>
    </xf>
    <xf numFmtId="2" fontId="0" fillId="0" borderId="0" xfId="0" applyNumberFormat="1" applyAlignment="1" applyProtection="1">
      <alignment horizontal="center"/>
      <protection hidden="1"/>
    </xf>
    <xf numFmtId="0" fontId="2" fillId="2" borderId="1" xfId="0" applyFont="1" applyFill="1" applyBorder="1" applyAlignment="1" applyProtection="1">
      <alignment horizontal="center" vertical="center"/>
      <protection hidden="1"/>
    </xf>
    <xf numFmtId="3" fontId="2" fillId="0" borderId="1" xfId="0" applyNumberFormat="1" applyFont="1" applyBorder="1" applyAlignment="1" applyProtection="1">
      <alignment horizontal="center" vertical="center"/>
      <protection hidden="1"/>
    </xf>
    <xf numFmtId="3" fontId="2" fillId="0" borderId="0" xfId="0" applyNumberFormat="1" applyFont="1" applyBorder="1" applyAlignment="1" applyProtection="1">
      <alignment horizontal="center" vertical="center"/>
      <protection hidden="1"/>
    </xf>
    <xf numFmtId="2" fontId="0" fillId="0" borderId="0" xfId="0" applyNumberFormat="1" applyFont="1" applyProtection="1">
      <protection hidden="1"/>
    </xf>
    <xf numFmtId="3" fontId="2" fillId="0" borderId="1" xfId="0" applyNumberFormat="1" applyFont="1" applyFill="1" applyBorder="1" applyAlignment="1" applyProtection="1">
      <alignment horizontal="center" vertical="center"/>
      <protection hidden="1"/>
    </xf>
    <xf numFmtId="0" fontId="0" fillId="0" borderId="9" xfId="0" applyBorder="1" applyProtection="1">
      <protection hidden="1"/>
    </xf>
    <xf numFmtId="0" fontId="0" fillId="0" borderId="10" xfId="0" applyBorder="1" applyProtection="1">
      <protection hidden="1"/>
    </xf>
    <xf numFmtId="0" fontId="0" fillId="0" borderId="11" xfId="0" applyBorder="1" applyProtection="1">
      <protection hidden="1"/>
    </xf>
    <xf numFmtId="0" fontId="5" fillId="0" borderId="0" xfId="1" applyFont="1" applyBorder="1" applyAlignment="1" applyProtection="1">
      <alignment vertical="center" wrapText="1"/>
      <protection hidden="1"/>
    </xf>
    <xf numFmtId="0" fontId="14" fillId="0" borderId="0" xfId="0" applyFont="1"/>
    <xf numFmtId="0" fontId="5" fillId="0" borderId="0" xfId="1" applyFont="1" applyBorder="1" applyAlignment="1" applyProtection="1">
      <alignment horizontal="center" vertical="center" wrapText="1"/>
      <protection hidden="1"/>
    </xf>
    <xf numFmtId="1" fontId="7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1" applyFont="1" applyBorder="1" applyAlignment="1" applyProtection="1">
      <alignment horizontal="center" vertical="center" wrapText="1"/>
      <protection hidden="1"/>
    </xf>
    <xf numFmtId="0" fontId="9" fillId="0" borderId="0" xfId="1" applyFont="1" applyBorder="1" applyAlignment="1" applyProtection="1">
      <alignment horizontal="center" vertical="center" wrapText="1"/>
      <protection hidden="1"/>
    </xf>
    <xf numFmtId="0" fontId="2" fillId="2" borderId="3" xfId="0" applyFont="1" applyFill="1" applyBorder="1" applyAlignment="1" applyProtection="1">
      <alignment horizontal="center" vertical="center"/>
      <protection hidden="1"/>
    </xf>
    <xf numFmtId="0" fontId="2" fillId="2" borderId="1" xfId="0" applyFont="1" applyFill="1" applyBorder="1" applyAlignment="1" applyProtection="1">
      <alignment horizontal="center" vertical="center"/>
      <protection hidden="1"/>
    </xf>
    <xf numFmtId="0" fontId="0" fillId="2" borderId="3" xfId="0" applyFill="1" applyBorder="1" applyAlignment="1" applyProtection="1">
      <alignment horizontal="center"/>
      <protection hidden="1"/>
    </xf>
    <xf numFmtId="0" fontId="0" fillId="2" borderId="1" xfId="0" applyFill="1" applyBorder="1" applyAlignment="1" applyProtection="1">
      <alignment horizontal="center"/>
      <protection hidden="1"/>
    </xf>
    <xf numFmtId="1" fontId="13" fillId="0" borderId="16" xfId="0" applyNumberFormat="1" applyFont="1" applyFill="1" applyBorder="1" applyAlignment="1" applyProtection="1">
      <alignment horizontal="center" vertical="center"/>
      <protection hidden="1"/>
    </xf>
    <xf numFmtId="0" fontId="12" fillId="0" borderId="13" xfId="1" applyFont="1" applyBorder="1" applyAlignment="1" applyProtection="1">
      <alignment horizontal="center" wrapText="1"/>
      <protection hidden="1"/>
    </xf>
    <xf numFmtId="0" fontId="12" fillId="0" borderId="14" xfId="1" applyFont="1" applyBorder="1" applyAlignment="1" applyProtection="1">
      <alignment horizontal="center" wrapText="1"/>
      <protection hidden="1"/>
    </xf>
    <xf numFmtId="0" fontId="12" fillId="0" borderId="0" xfId="1" applyFont="1" applyBorder="1" applyAlignment="1" applyProtection="1">
      <alignment horizontal="center" wrapText="1"/>
      <protection hidden="1"/>
    </xf>
    <xf numFmtId="0" fontId="12" fillId="0" borderId="15" xfId="1" applyFont="1" applyBorder="1" applyAlignment="1" applyProtection="1">
      <alignment horizontal="center" wrapText="1"/>
      <protection hidden="1"/>
    </xf>
    <xf numFmtId="0" fontId="12" fillId="0" borderId="16" xfId="1" applyFont="1" applyBorder="1" applyAlignment="1" applyProtection="1">
      <alignment horizontal="center" wrapText="1"/>
      <protection hidden="1"/>
    </xf>
    <xf numFmtId="0" fontId="12" fillId="0" borderId="17" xfId="1" applyFont="1" applyBorder="1" applyAlignment="1" applyProtection="1">
      <alignment horizontal="center" wrapText="1"/>
      <protection hidden="1"/>
    </xf>
    <xf numFmtId="0" fontId="11" fillId="0" borderId="12" xfId="0" applyFont="1" applyFill="1" applyBorder="1" applyAlignment="1" applyProtection="1">
      <alignment horizontal="center" vertical="center" wrapText="1"/>
      <protection hidden="1"/>
    </xf>
    <xf numFmtId="0" fontId="11" fillId="0" borderId="13" xfId="0" applyFont="1" applyFill="1" applyBorder="1" applyAlignment="1" applyProtection="1">
      <alignment horizontal="center" vertical="center" wrapText="1"/>
      <protection hidden="1"/>
    </xf>
    <xf numFmtId="0" fontId="11" fillId="0" borderId="14" xfId="0" applyFont="1" applyFill="1" applyBorder="1" applyAlignment="1" applyProtection="1">
      <alignment horizontal="center" vertical="center" wrapText="1"/>
      <protection hidden="1"/>
    </xf>
    <xf numFmtId="0" fontId="11" fillId="0" borderId="19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horizontal="center" vertical="center" wrapText="1"/>
      <protection hidden="1"/>
    </xf>
    <xf numFmtId="0" fontId="11" fillId="0" borderId="15" xfId="0" applyFont="1" applyFill="1" applyBorder="1" applyAlignment="1" applyProtection="1">
      <alignment horizontal="center" vertical="center" wrapText="1"/>
      <protection hidden="1"/>
    </xf>
    <xf numFmtId="0" fontId="11" fillId="0" borderId="20" xfId="0" applyFont="1" applyFill="1" applyBorder="1" applyAlignment="1" applyProtection="1">
      <alignment horizontal="center" vertical="center" wrapText="1"/>
      <protection hidden="1"/>
    </xf>
    <xf numFmtId="0" fontId="11" fillId="0" borderId="16" xfId="0" applyFont="1" applyFill="1" applyBorder="1" applyAlignment="1" applyProtection="1">
      <alignment horizontal="center" vertical="center" wrapText="1"/>
      <protection hidden="1"/>
    </xf>
    <xf numFmtId="0" fontId="11" fillId="0" borderId="17" xfId="0" applyFont="1" applyFill="1" applyBorder="1" applyAlignment="1" applyProtection="1">
      <alignment horizontal="center" vertical="center" wrapText="1"/>
      <protection hidden="1"/>
    </xf>
    <xf numFmtId="0" fontId="0" fillId="2" borderId="2" xfId="0" applyFill="1" applyBorder="1" applyAlignment="1" applyProtection="1">
      <alignment horizontal="center"/>
      <protection hidden="1"/>
    </xf>
    <xf numFmtId="1" fontId="0" fillId="0" borderId="2" xfId="0" applyNumberFormat="1" applyFont="1" applyFill="1" applyBorder="1" applyAlignment="1">
      <alignment horizontal="center" vertical="center" wrapText="1"/>
    </xf>
    <xf numFmtId="1" fontId="0" fillId="0" borderId="3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Font="1" applyFill="1" applyAlignment="1">
      <alignment horizontal="center"/>
    </xf>
  </cellXfs>
  <cellStyles count="2">
    <cellStyle name="Normal" xfId="0" builtinId="0"/>
    <cellStyle name="Normální 2" xfId="1"/>
  </cellStyles>
  <dxfs count="12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16" fmlaLink="'Nová data tabulka Exact'!$A$14" fmlaRange="'Nová data tabulka Exact'!$A$2:$A$13" noThreeD="1" sel="10" val="4"/>
</file>

<file path=xl/ctrlProps/ctrlProp2.xml><?xml version="1.0" encoding="utf-8"?>
<formControlPr xmlns="http://schemas.microsoft.com/office/spreadsheetml/2009/9/main" objectType="Drop" dropStyle="combo" dx="16" fmlaLink="'Nová data tabulka Exact'!$P$2" fmlaRange="'Nová data tabulka Exact'!$P$3:$P$58" noThreeD="1" sel="31" val="23"/>
</file>

<file path=xl/ctrlProps/ctrlProp3.xml><?xml version="1.0" encoding="utf-8"?>
<formControlPr xmlns="http://schemas.microsoft.com/office/spreadsheetml/2009/9/main" objectType="Drop" dropStyle="combo" dx="16" fmlaLink="'Nová data tabulka Exact'!$Q$2" fmlaRange="'Nová data tabulka Exact'!$Q$3:$Q$44" noThreeD="1" sel="32" val="30"/>
</file>

<file path=xl/ctrlProps/ctrlProp4.xml><?xml version="1.0" encoding="utf-8"?>
<formControlPr xmlns="http://schemas.microsoft.com/office/spreadsheetml/2009/9/main" objectType="Drop" dropStyle="combo" dx="16" fmlaLink="'Nová data tabulka Exact'!$R$2" fmlaRange="'Nová data tabulka Exact'!$R$3:$R$16" noThreeD="1" sel="9" val="6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4</xdr:row>
          <xdr:rowOff>133350</xdr:rowOff>
        </xdr:from>
        <xdr:to>
          <xdr:col>4</xdr:col>
          <xdr:colOff>95250</xdr:colOff>
          <xdr:row>6</xdr:row>
          <xdr:rowOff>38100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12700</xdr:colOff>
          <xdr:row>4</xdr:row>
          <xdr:rowOff>146050</xdr:rowOff>
        </xdr:from>
        <xdr:to>
          <xdr:col>7</xdr:col>
          <xdr:colOff>0</xdr:colOff>
          <xdr:row>6</xdr:row>
          <xdr:rowOff>19050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31750</xdr:colOff>
          <xdr:row>4</xdr:row>
          <xdr:rowOff>152400</xdr:rowOff>
        </xdr:from>
        <xdr:to>
          <xdr:col>8</xdr:col>
          <xdr:colOff>704850</xdr:colOff>
          <xdr:row>6</xdr:row>
          <xdr:rowOff>31750</xdr:rowOff>
        </xdr:to>
        <xdr:sp macro="" textlink="">
          <xdr:nvSpPr>
            <xdr:cNvPr id="1027" name="Drop Dow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4</xdr:row>
          <xdr:rowOff>146050</xdr:rowOff>
        </xdr:from>
        <xdr:to>
          <xdr:col>10</xdr:col>
          <xdr:colOff>793750</xdr:colOff>
          <xdr:row>6</xdr:row>
          <xdr:rowOff>31750</xdr:rowOff>
        </xdr:to>
        <xdr:sp macro="" textlink="">
          <xdr:nvSpPr>
            <xdr:cNvPr id="1028" name="Drop Dow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11</xdr:col>
      <xdr:colOff>266700</xdr:colOff>
      <xdr:row>1</xdr:row>
      <xdr:rowOff>133350</xdr:rowOff>
    </xdr:from>
    <xdr:to>
      <xdr:col>12</xdr:col>
      <xdr:colOff>735806</xdr:colOff>
      <xdr:row>3</xdr:row>
      <xdr:rowOff>62937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67525" y="333375"/>
          <a:ext cx="1297781" cy="6630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A78"/>
  <sheetViews>
    <sheetView tabSelected="1" topLeftCell="A58" zoomScaleNormal="100" workbookViewId="0">
      <selection activeCell="M59" sqref="M59:M77"/>
    </sheetView>
  </sheetViews>
  <sheetFormatPr defaultColWidth="9.1796875" defaultRowHeight="14.5" x14ac:dyDescent="0.35"/>
  <cols>
    <col min="1" max="1" width="3" style="53" customWidth="1"/>
    <col min="2" max="2" width="3.26953125" style="53" customWidth="1"/>
    <col min="3" max="3" width="11.26953125" style="53" bestFit="1" customWidth="1"/>
    <col min="4" max="7" width="10.7265625" style="53" customWidth="1"/>
    <col min="8" max="8" width="20" style="53" customWidth="1"/>
    <col min="9" max="9" width="11.26953125" style="53" bestFit="1" customWidth="1"/>
    <col min="10" max="13" width="12.453125" style="53" customWidth="1"/>
    <col min="14" max="14" width="4" style="53" customWidth="1"/>
    <col min="15" max="15" width="9.1796875" style="53"/>
    <col min="16" max="19" width="9.1796875" style="53" hidden="1" customWidth="1"/>
    <col min="20" max="16384" width="9.1796875" style="53"/>
  </cols>
  <sheetData>
    <row r="1" spans="2:27" ht="15" thickBot="1" x14ac:dyDescent="0.4"/>
    <row r="2" spans="2:27" x14ac:dyDescent="0.35">
      <c r="B2" s="1"/>
      <c r="C2" s="2"/>
      <c r="D2" s="2"/>
      <c r="E2" s="2"/>
      <c r="F2" s="2"/>
      <c r="G2" s="3"/>
      <c r="H2" s="2"/>
      <c r="I2" s="2"/>
      <c r="J2" s="2"/>
      <c r="K2" s="2"/>
      <c r="L2" s="2"/>
      <c r="M2" s="2"/>
      <c r="N2" s="4"/>
    </row>
    <row r="3" spans="2:27" ht="42.75" customHeight="1" x14ac:dyDescent="0.35">
      <c r="B3" s="5"/>
      <c r="C3" s="78" t="str">
        <f>"Radiant convector EXACT "&amp;C7&amp;"at temperature gradient "&amp;'Nová data tabulka Exact'!P1&amp;"/"&amp;'Nová data tabulka Exact'!Q1&amp;"/"&amp;'Nová data tabulka Exact'!R1&amp;" °C"</f>
        <v>Radiant convector EXACT at temperature gradient 60/40/20 °C</v>
      </c>
      <c r="D3" s="78"/>
      <c r="E3" s="78"/>
      <c r="F3" s="78"/>
      <c r="G3" s="78"/>
      <c r="H3" s="78"/>
      <c r="I3" s="78"/>
      <c r="J3" s="77" t="s">
        <v>65</v>
      </c>
      <c r="K3" s="77"/>
      <c r="L3" s="6"/>
      <c r="M3" s="6"/>
      <c r="N3" s="7"/>
    </row>
    <row r="4" spans="2:27" ht="15.75" customHeight="1" x14ac:dyDescent="0.35">
      <c r="B4" s="5"/>
      <c r="C4" s="76" t="s">
        <v>71</v>
      </c>
      <c r="D4" s="76"/>
      <c r="E4" s="76"/>
      <c r="F4" s="76"/>
      <c r="G4" s="76"/>
      <c r="H4" s="76"/>
      <c r="I4" s="76"/>
      <c r="J4" s="74"/>
      <c r="K4" s="79"/>
      <c r="L4" s="79"/>
      <c r="M4" s="8"/>
      <c r="N4" s="9"/>
    </row>
    <row r="5" spans="2:27" ht="15" thickBot="1" x14ac:dyDescent="0.4">
      <c r="B5" s="54"/>
      <c r="C5" s="55"/>
      <c r="D5" s="55"/>
      <c r="E5" s="55"/>
      <c r="F5" s="55"/>
      <c r="G5" s="55"/>
      <c r="H5" s="55"/>
      <c r="I5" s="55"/>
      <c r="J5" s="55"/>
      <c r="K5" s="55"/>
      <c r="L5" s="55"/>
      <c r="M5" s="48" t="s">
        <v>67</v>
      </c>
      <c r="N5" s="56"/>
      <c r="O5" s="46"/>
    </row>
    <row r="6" spans="2:27" ht="15" thickBot="1" x14ac:dyDescent="0.4">
      <c r="B6" s="54"/>
      <c r="C6" s="55" t="s">
        <v>72</v>
      </c>
      <c r="D6" s="55"/>
      <c r="E6" s="55"/>
      <c r="F6" s="57" t="s">
        <v>73</v>
      </c>
      <c r="G6" s="55"/>
      <c r="H6" s="57" t="s">
        <v>74</v>
      </c>
      <c r="I6" s="55"/>
      <c r="J6" s="57" t="s">
        <v>75</v>
      </c>
      <c r="K6" s="55"/>
      <c r="L6" s="55"/>
      <c r="M6" s="47" t="str">
        <f>IF('Nová data tabulka Exact'!U2&gt;='Nová data tabulka Exact'!U1,"T1≤T2",IF('Nová data tabulka Exact'!U3&gt;'Nová data tabulka Exact'!U2,"T2≤Ti",""))</f>
        <v/>
      </c>
      <c r="N6" s="56"/>
    </row>
    <row r="7" spans="2:27" ht="15.5" x14ac:dyDescent="0.35">
      <c r="B7" s="54"/>
      <c r="C7" s="58"/>
      <c r="D7" s="55"/>
      <c r="E7" s="55"/>
      <c r="F7" s="55"/>
      <c r="G7" s="55"/>
      <c r="H7" s="55"/>
      <c r="I7" s="55"/>
      <c r="J7" s="55"/>
      <c r="K7" s="55"/>
      <c r="L7" s="55"/>
      <c r="M7" s="55"/>
      <c r="N7" s="56"/>
    </row>
    <row r="8" spans="2:27" ht="29.25" customHeight="1" x14ac:dyDescent="0.35">
      <c r="B8" s="54"/>
      <c r="C8" s="91" t="str">
        <f>IF('Nová data tabulka Exact'!U4&lt;50,"Notice about non-standard temperatue gradient: ","")</f>
        <v/>
      </c>
      <c r="D8" s="92"/>
      <c r="E8" s="93"/>
      <c r="F8" s="41"/>
      <c r="G8" s="85" t="str">
        <f>IF('Nová data tabulka Exact'!U4&lt;50,"If middle temperature of the heating medium &lt;50°C, heating output at low temperature gradient may not be correct according to calculation by the general formula","")</f>
        <v/>
      </c>
      <c r="H8" s="85"/>
      <c r="I8" s="85"/>
      <c r="J8" s="85"/>
      <c r="K8" s="85"/>
      <c r="L8" s="85"/>
      <c r="M8" s="86"/>
      <c r="N8" s="56"/>
      <c r="T8" s="75"/>
    </row>
    <row r="9" spans="2:27" ht="15.75" customHeight="1" x14ac:dyDescent="0.35">
      <c r="B9" s="54"/>
      <c r="C9" s="94"/>
      <c r="D9" s="95"/>
      <c r="E9" s="96"/>
      <c r="F9" s="55"/>
      <c r="G9" s="38" t="str">
        <f>IF('Nová data tabulka Exact'!U4&lt;50,"Inside the radiator is low nominal flowing of the heating medium and the heater body is not warmed in whole volume.","")</f>
        <v/>
      </c>
      <c r="H9" s="55"/>
      <c r="I9" s="55"/>
      <c r="J9" s="55"/>
      <c r="K9" s="55"/>
      <c r="L9" s="55"/>
      <c r="M9" s="59"/>
      <c r="N9" s="56"/>
      <c r="T9" s="75"/>
    </row>
    <row r="10" spans="2:27" ht="15.75" customHeight="1" x14ac:dyDescent="0.35">
      <c r="B10" s="54"/>
      <c r="C10" s="94"/>
      <c r="D10" s="95"/>
      <c r="E10" s="96"/>
      <c r="F10" s="55"/>
      <c r="G10" s="38" t="str">
        <f>IF('Nová data tabulka Exact'!U4&lt;50,"This can decrease heating output. It can be get only by the measurement at the laboratory.","")</f>
        <v/>
      </c>
      <c r="H10" s="55"/>
      <c r="I10" s="55"/>
      <c r="J10" s="55"/>
      <c r="K10" s="55"/>
      <c r="L10" s="55"/>
      <c r="M10" s="59"/>
      <c r="N10" s="56"/>
      <c r="T10" s="75"/>
    </row>
    <row r="11" spans="2:27" ht="15.75" customHeight="1" x14ac:dyDescent="0.35">
      <c r="B11" s="54"/>
      <c r="C11" s="97"/>
      <c r="D11" s="98"/>
      <c r="E11" s="99"/>
      <c r="F11" s="60"/>
      <c r="G11" s="39" t="str">
        <f>IF('Nová data tabulka Exact'!U4&lt;50,"For larger projects, we recommend verifying the heating power on a representative sample.","")</f>
        <v/>
      </c>
      <c r="H11" s="60"/>
      <c r="I11" s="60"/>
      <c r="J11" s="60"/>
      <c r="K11" s="60"/>
      <c r="L11" s="60"/>
      <c r="M11" s="61"/>
      <c r="N11" s="56"/>
      <c r="T11" s="75"/>
    </row>
    <row r="12" spans="2:27" ht="15.5" x14ac:dyDescent="0.35">
      <c r="B12" s="54"/>
      <c r="C12" s="58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6"/>
    </row>
    <row r="13" spans="2:27" ht="15.75" customHeight="1" x14ac:dyDescent="0.35">
      <c r="B13" s="54"/>
      <c r="C13" s="91" t="str">
        <f>IF('Nová data tabulka Exact'!U5&lt;0.5,"Notice about low water flow rate:","")</f>
        <v>Notice about low water flow rate:</v>
      </c>
      <c r="D13" s="92"/>
      <c r="E13" s="93"/>
      <c r="F13" s="41"/>
      <c r="G13" s="40" t="str">
        <f>IF('Nová data tabulka Exact'!U5&lt;0.5,"Nominal water flow thru the element is not in the range from 0.5 to 2.0 of the nominal rate at 75/65/20°C.","")</f>
        <v>Nominal water flow thru the element is not in the range from 0.5 to 2.0 of the nominal rate at 75/65/20°C.</v>
      </c>
      <c r="H13" s="62"/>
      <c r="I13" s="62"/>
      <c r="J13" s="62"/>
      <c r="K13" s="62"/>
      <c r="L13" s="62"/>
      <c r="M13" s="63"/>
      <c r="N13" s="56"/>
    </row>
    <row r="14" spans="2:27" ht="15.75" customHeight="1" x14ac:dyDescent="0.35">
      <c r="B14" s="54"/>
      <c r="C14" s="94"/>
      <c r="D14" s="95"/>
      <c r="E14" s="96"/>
      <c r="F14" s="37"/>
      <c r="G14" s="87" t="str">
        <f>IF('Nová data tabulka Exact'!U5&lt;0.5,CONCATENATE("In this case, flow rate is ca. ",'Nová data tabulka Exact'!U5, " times of nominal flow rate at 75/65/20. Therefor we can not guarantee, that heating output will be correct."),"")</f>
        <v>In this case, flow rate is ca. 0,26 times of nominal flow rate at 75/65/20. Therefor we can not guarantee, that heating output will be correct.</v>
      </c>
      <c r="H14" s="87"/>
      <c r="I14" s="87"/>
      <c r="J14" s="87"/>
      <c r="K14" s="87"/>
      <c r="L14" s="87"/>
      <c r="M14" s="88"/>
      <c r="N14" s="56"/>
    </row>
    <row r="15" spans="2:27" x14ac:dyDescent="0.35">
      <c r="B15" s="54"/>
      <c r="C15" s="97"/>
      <c r="D15" s="98"/>
      <c r="E15" s="99"/>
      <c r="F15" s="49"/>
      <c r="G15" s="89"/>
      <c r="H15" s="89"/>
      <c r="I15" s="89"/>
      <c r="J15" s="89"/>
      <c r="K15" s="89"/>
      <c r="L15" s="89"/>
      <c r="M15" s="90"/>
      <c r="N15" s="56"/>
      <c r="T15" s="55"/>
    </row>
    <row r="16" spans="2:27" ht="15.5" x14ac:dyDescent="0.35">
      <c r="B16" s="54"/>
      <c r="C16" s="37"/>
      <c r="D16" s="37"/>
      <c r="E16" s="37"/>
      <c r="F16" s="37"/>
      <c r="G16" s="37"/>
      <c r="H16" s="55"/>
      <c r="I16" s="55"/>
      <c r="J16" s="55"/>
      <c r="K16" s="55"/>
      <c r="L16" s="55"/>
      <c r="M16" s="55"/>
      <c r="N16" s="56"/>
      <c r="P16" s="55"/>
      <c r="Q16" s="55"/>
      <c r="R16" s="55"/>
      <c r="S16" s="55"/>
      <c r="T16" s="52"/>
      <c r="U16" s="55"/>
      <c r="V16" s="55"/>
      <c r="W16" s="55"/>
      <c r="X16" s="55"/>
      <c r="Y16" s="55"/>
      <c r="Z16" s="55"/>
      <c r="AA16" s="55"/>
    </row>
    <row r="17" spans="2:27" ht="15.5" x14ac:dyDescent="0.35">
      <c r="B17" s="64"/>
      <c r="C17" s="84" t="s">
        <v>70</v>
      </c>
      <c r="D17" s="84"/>
      <c r="E17" s="84"/>
      <c r="F17" s="84"/>
      <c r="G17" s="84"/>
      <c r="H17" s="55"/>
      <c r="I17" s="84" t="str">
        <f>"Q[W] "&amp;'Nová data tabulka Exact'!U1&amp;"/"&amp;'Nová data tabulka Exact'!U2&amp;"/"&amp;'Nová data tabulka Exact'!U3&amp;"°C (ΔT="&amp;(('Nová data tabulka Exact'!U1+'Nová data tabulka Exact'!U2)/2-'Nová data tabulka Exact'!U3)&amp;"°C)"</f>
        <v>Q[W] 60/40/20°C (ΔT=30°C)</v>
      </c>
      <c r="J17" s="84"/>
      <c r="K17" s="84"/>
      <c r="L17" s="84"/>
      <c r="M17" s="84"/>
      <c r="N17" s="56"/>
      <c r="P17" s="52"/>
      <c r="Q17" s="52"/>
      <c r="R17" s="52"/>
      <c r="S17" s="52"/>
      <c r="T17" s="55"/>
      <c r="U17" s="51"/>
      <c r="V17" s="52"/>
      <c r="W17" s="52"/>
      <c r="X17" s="52"/>
      <c r="Y17" s="52"/>
      <c r="Z17" s="52"/>
      <c r="AA17" s="55"/>
    </row>
    <row r="18" spans="2:27" x14ac:dyDescent="0.35">
      <c r="B18" s="54"/>
      <c r="C18" s="83" t="s">
        <v>77</v>
      </c>
      <c r="D18" s="82" t="s">
        <v>78</v>
      </c>
      <c r="E18" s="83"/>
      <c r="F18" s="83"/>
      <c r="G18" s="83"/>
      <c r="H18" s="55"/>
      <c r="I18" s="83" t="s">
        <v>77</v>
      </c>
      <c r="J18" s="82" t="s">
        <v>78</v>
      </c>
      <c r="K18" s="83"/>
      <c r="L18" s="83"/>
      <c r="M18" s="83"/>
      <c r="N18" s="56"/>
      <c r="P18" s="55"/>
      <c r="Q18" s="55"/>
      <c r="R18" s="55"/>
      <c r="S18" s="55"/>
      <c r="U18" s="55"/>
      <c r="V18" s="55"/>
      <c r="W18" s="55"/>
      <c r="X18" s="55"/>
      <c r="Y18" s="55"/>
      <c r="Z18" s="55"/>
      <c r="AA18" s="55"/>
    </row>
    <row r="19" spans="2:27" ht="15.5" x14ac:dyDescent="0.35">
      <c r="B19" s="54"/>
      <c r="C19" s="83"/>
      <c r="D19" s="80" t="s">
        <v>76</v>
      </c>
      <c r="E19" s="81"/>
      <c r="F19" s="81"/>
      <c r="G19" s="81"/>
      <c r="H19" s="58"/>
      <c r="I19" s="83"/>
      <c r="J19" s="80" t="s">
        <v>76</v>
      </c>
      <c r="K19" s="81"/>
      <c r="L19" s="81"/>
      <c r="M19" s="81"/>
      <c r="N19" s="56"/>
      <c r="P19" s="53" t="s">
        <v>68</v>
      </c>
      <c r="Q19" s="65">
        <f>MIN(P21:S77)</f>
        <v>0.24</v>
      </c>
      <c r="R19" s="53" t="s">
        <v>69</v>
      </c>
      <c r="S19" s="65">
        <f>MAX(P21:S77)</f>
        <v>0.25</v>
      </c>
    </row>
    <row r="20" spans="2:27" ht="15.5" x14ac:dyDescent="0.35">
      <c r="B20" s="54"/>
      <c r="C20" s="100"/>
      <c r="D20" s="66">
        <v>70</v>
      </c>
      <c r="E20" s="66">
        <v>140</v>
      </c>
      <c r="F20" s="66">
        <v>210</v>
      </c>
      <c r="G20" s="66">
        <v>280</v>
      </c>
      <c r="H20" s="58"/>
      <c r="I20" s="100"/>
      <c r="J20" s="66">
        <v>70</v>
      </c>
      <c r="K20" s="66">
        <v>140</v>
      </c>
      <c r="L20" s="66">
        <v>210</v>
      </c>
      <c r="M20" s="66">
        <v>280</v>
      </c>
      <c r="N20" s="56"/>
    </row>
    <row r="21" spans="2:27" ht="15.5" x14ac:dyDescent="0.35">
      <c r="B21" s="54"/>
      <c r="C21" s="66">
        <v>400</v>
      </c>
      <c r="D21" s="67">
        <f t="shared" ref="D21:D26" si="0">$D$27/1000*C21</f>
        <v>411.22048127030115</v>
      </c>
      <c r="E21" s="67">
        <f t="shared" ref="E21:E26" si="1">$E$27/1000*C21</f>
        <v>642.36510980121977</v>
      </c>
      <c r="F21" s="67">
        <f t="shared" ref="F21:F26" si="2">$F$27/1000*C21</f>
        <v>836.79508146911826</v>
      </c>
      <c r="G21" s="67">
        <f t="shared" ref="G21:G26" si="3">$G$27/1000*C21</f>
        <v>1011.9644558676985</v>
      </c>
      <c r="H21" s="68"/>
      <c r="I21" s="66">
        <v>400</v>
      </c>
      <c r="J21" s="67">
        <f t="shared" ref="J21:J26" si="4">$J$27/1000*C21</f>
        <v>201.85385532200351</v>
      </c>
      <c r="K21" s="67">
        <f t="shared" ref="K21:K26" si="5">$K$27/1000*C21</f>
        <v>314.93986169799689</v>
      </c>
      <c r="L21" s="67">
        <f t="shared" ref="L21:L26" si="6">$L$27/1000*C21</f>
        <v>409.77757103505678</v>
      </c>
      <c r="M21" s="67">
        <f t="shared" ref="M21:M26" si="7">$M$27/1000*C21</f>
        <v>494.96865865967771</v>
      </c>
      <c r="N21" s="56"/>
      <c r="P21" s="69">
        <f>ROUND((0.86*J21/('Nová data tabulka Exact'!$U$1-'Nová data tabulka Exact'!$U$2))/(0.86*D21/10),2)</f>
        <v>0.25</v>
      </c>
      <c r="Q21" s="69">
        <f>ROUND((0.86*K21/('Nová data tabulka Exact'!$U$1-'Nová data tabulka Exact'!$U$2))/(0.86*E21/10),2)</f>
        <v>0.25</v>
      </c>
      <c r="R21" s="69">
        <f>ROUND((0.86*L21/('Nová data tabulka Exact'!$U$1-'Nová data tabulka Exact'!$U$2))/(0.86*F21/10),2)</f>
        <v>0.24</v>
      </c>
      <c r="S21" s="69">
        <f>ROUND((0.86*M21/('Nová data tabulka Exact'!$U$1-'Nová data tabulka Exact'!$U$2))/(0.86*G21/10),2)</f>
        <v>0.24</v>
      </c>
    </row>
    <row r="22" spans="2:27" ht="15.5" x14ac:dyDescent="0.35">
      <c r="B22" s="54"/>
      <c r="C22" s="66">
        <v>500</v>
      </c>
      <c r="D22" s="67">
        <f t="shared" si="0"/>
        <v>514.02560158787651</v>
      </c>
      <c r="E22" s="67">
        <f t="shared" si="1"/>
        <v>802.95638725152469</v>
      </c>
      <c r="F22" s="67">
        <f t="shared" si="2"/>
        <v>1045.9938518363979</v>
      </c>
      <c r="G22" s="67">
        <f t="shared" si="3"/>
        <v>1264.955569834623</v>
      </c>
      <c r="H22" s="68"/>
      <c r="I22" s="66">
        <v>500</v>
      </c>
      <c r="J22" s="67">
        <f t="shared" si="4"/>
        <v>252.31731915250438</v>
      </c>
      <c r="K22" s="67">
        <f t="shared" si="5"/>
        <v>393.67482712249614</v>
      </c>
      <c r="L22" s="67">
        <f t="shared" si="6"/>
        <v>512.22196379382103</v>
      </c>
      <c r="M22" s="67">
        <f t="shared" si="7"/>
        <v>618.71082332459719</v>
      </c>
      <c r="N22" s="56"/>
      <c r="P22" s="69">
        <f>ROUND((0.86*J22/('Nová data tabulka Exact'!$U$1-'Nová data tabulka Exact'!$U$2))/(0.86*D22/10),2)</f>
        <v>0.25</v>
      </c>
      <c r="Q22" s="69">
        <f>ROUND((0.86*K22/('Nová data tabulka Exact'!$U$1-'Nová data tabulka Exact'!$U$2))/(0.86*E22/10),2)</f>
        <v>0.25</v>
      </c>
      <c r="R22" s="69">
        <f>ROUND((0.86*L22/('Nová data tabulka Exact'!$U$1-'Nová data tabulka Exact'!$U$2))/(0.86*F22/10),2)</f>
        <v>0.24</v>
      </c>
      <c r="S22" s="69">
        <f>ROUND((0.86*M22/('Nová data tabulka Exact'!$U$1-'Nová data tabulka Exact'!$U$2))/(0.86*G22/10),2)</f>
        <v>0.24</v>
      </c>
    </row>
    <row r="23" spans="2:27" ht="15.5" x14ac:dyDescent="0.35">
      <c r="B23" s="54"/>
      <c r="C23" s="66">
        <v>600</v>
      </c>
      <c r="D23" s="67">
        <f t="shared" si="0"/>
        <v>616.83072190545181</v>
      </c>
      <c r="E23" s="67">
        <f t="shared" si="1"/>
        <v>963.54766470182972</v>
      </c>
      <c r="F23" s="67">
        <f t="shared" si="2"/>
        <v>1255.1926222036773</v>
      </c>
      <c r="G23" s="67">
        <f t="shared" si="3"/>
        <v>1517.9466838015478</v>
      </c>
      <c r="H23" s="68"/>
      <c r="I23" s="66">
        <v>600</v>
      </c>
      <c r="J23" s="67">
        <f t="shared" si="4"/>
        <v>302.78078298300528</v>
      </c>
      <c r="K23" s="67">
        <f t="shared" si="5"/>
        <v>472.40979254699533</v>
      </c>
      <c r="L23" s="67">
        <f t="shared" si="6"/>
        <v>614.66635655258517</v>
      </c>
      <c r="M23" s="67">
        <f t="shared" si="7"/>
        <v>742.4529879895166</v>
      </c>
      <c r="N23" s="56"/>
      <c r="P23" s="69">
        <f>ROUND((0.86*J23/('Nová data tabulka Exact'!$U$1-'Nová data tabulka Exact'!$U$2))/(0.86*D23/10),2)</f>
        <v>0.25</v>
      </c>
      <c r="Q23" s="69">
        <f>ROUND((0.86*K23/('Nová data tabulka Exact'!$U$1-'Nová data tabulka Exact'!$U$2))/(0.86*E23/10),2)</f>
        <v>0.25</v>
      </c>
      <c r="R23" s="69">
        <f>ROUND((0.86*L23/('Nová data tabulka Exact'!$U$1-'Nová data tabulka Exact'!$U$2))/(0.86*F23/10),2)</f>
        <v>0.24</v>
      </c>
      <c r="S23" s="69">
        <f>ROUND((0.86*M23/('Nová data tabulka Exact'!$U$1-'Nová data tabulka Exact'!$U$2))/(0.86*G23/10),2)</f>
        <v>0.24</v>
      </c>
    </row>
    <row r="24" spans="2:27" ht="15.5" x14ac:dyDescent="0.35">
      <c r="B24" s="54"/>
      <c r="C24" s="66">
        <v>700</v>
      </c>
      <c r="D24" s="67">
        <f t="shared" si="0"/>
        <v>719.63584222302711</v>
      </c>
      <c r="E24" s="67">
        <f t="shared" si="1"/>
        <v>1124.1389421521346</v>
      </c>
      <c r="F24" s="67">
        <f t="shared" si="2"/>
        <v>1464.3913925709569</v>
      </c>
      <c r="G24" s="67">
        <f t="shared" si="3"/>
        <v>1770.9377977684724</v>
      </c>
      <c r="H24" s="68"/>
      <c r="I24" s="66">
        <v>700</v>
      </c>
      <c r="J24" s="67">
        <f t="shared" si="4"/>
        <v>353.24424681350615</v>
      </c>
      <c r="K24" s="67">
        <f t="shared" si="5"/>
        <v>551.14475797149453</v>
      </c>
      <c r="L24" s="67">
        <f t="shared" si="6"/>
        <v>717.11074931134942</v>
      </c>
      <c r="M24" s="67">
        <f t="shared" si="7"/>
        <v>866.19515265443601</v>
      </c>
      <c r="N24" s="56"/>
      <c r="P24" s="69">
        <f>ROUND((0.86*J24/('Nová data tabulka Exact'!$U$1-'Nová data tabulka Exact'!$U$2))/(0.86*D24/10),2)</f>
        <v>0.25</v>
      </c>
      <c r="Q24" s="69">
        <f>ROUND((0.86*K24/('Nová data tabulka Exact'!$U$1-'Nová data tabulka Exact'!$U$2))/(0.86*E24/10),2)</f>
        <v>0.25</v>
      </c>
      <c r="R24" s="69">
        <f>ROUND((0.86*L24/('Nová data tabulka Exact'!$U$1-'Nová data tabulka Exact'!$U$2))/(0.86*F24/10),2)</f>
        <v>0.24</v>
      </c>
      <c r="S24" s="69">
        <f>ROUND((0.86*M24/('Nová data tabulka Exact'!$U$1-'Nová data tabulka Exact'!$U$2))/(0.86*G24/10),2)</f>
        <v>0.24</v>
      </c>
    </row>
    <row r="25" spans="2:27" ht="15.5" x14ac:dyDescent="0.35">
      <c r="B25" s="54"/>
      <c r="C25" s="66">
        <v>800</v>
      </c>
      <c r="D25" s="67">
        <f t="shared" si="0"/>
        <v>822.4409625406023</v>
      </c>
      <c r="E25" s="67">
        <f t="shared" si="1"/>
        <v>1284.7302196024395</v>
      </c>
      <c r="F25" s="67">
        <f t="shared" si="2"/>
        <v>1673.5901629382365</v>
      </c>
      <c r="G25" s="67">
        <f t="shared" si="3"/>
        <v>2023.9289117353969</v>
      </c>
      <c r="H25" s="68"/>
      <c r="I25" s="66">
        <v>800</v>
      </c>
      <c r="J25" s="67">
        <f t="shared" si="4"/>
        <v>403.70771064400702</v>
      </c>
      <c r="K25" s="67">
        <f t="shared" si="5"/>
        <v>629.87972339599378</v>
      </c>
      <c r="L25" s="67">
        <f t="shared" si="6"/>
        <v>819.55514207011356</v>
      </c>
      <c r="M25" s="67">
        <f t="shared" si="7"/>
        <v>989.93731731935543</v>
      </c>
      <c r="N25" s="56"/>
      <c r="P25" s="69">
        <f>ROUND((0.86*J25/('Nová data tabulka Exact'!$U$1-'Nová data tabulka Exact'!$U$2))/(0.86*D25/10),2)</f>
        <v>0.25</v>
      </c>
      <c r="Q25" s="69">
        <f>ROUND((0.86*K25/('Nová data tabulka Exact'!$U$1-'Nová data tabulka Exact'!$U$2))/(0.86*E25/10),2)</f>
        <v>0.25</v>
      </c>
      <c r="R25" s="69">
        <f>ROUND((0.86*L25/('Nová data tabulka Exact'!$U$1-'Nová data tabulka Exact'!$U$2))/(0.86*F25/10),2)</f>
        <v>0.24</v>
      </c>
      <c r="S25" s="69">
        <f>ROUND((0.86*M25/('Nová data tabulka Exact'!$U$1-'Nová data tabulka Exact'!$U$2))/(0.86*G25/10),2)</f>
        <v>0.24</v>
      </c>
    </row>
    <row r="26" spans="2:27" ht="15.5" x14ac:dyDescent="0.35">
      <c r="B26" s="54"/>
      <c r="C26" s="66">
        <v>900</v>
      </c>
      <c r="D26" s="67">
        <f t="shared" si="0"/>
        <v>925.2460828581776</v>
      </c>
      <c r="E26" s="67">
        <f t="shared" si="1"/>
        <v>1445.3214970527445</v>
      </c>
      <c r="F26" s="67">
        <f t="shared" si="2"/>
        <v>1882.7889333055161</v>
      </c>
      <c r="G26" s="67">
        <f t="shared" si="3"/>
        <v>2276.9200257023217</v>
      </c>
      <c r="H26" s="68"/>
      <c r="I26" s="66">
        <v>900</v>
      </c>
      <c r="J26" s="67">
        <f t="shared" si="4"/>
        <v>454.17117447450789</v>
      </c>
      <c r="K26" s="67">
        <f t="shared" si="5"/>
        <v>708.61468882049303</v>
      </c>
      <c r="L26" s="67">
        <f t="shared" si="6"/>
        <v>921.99953482887781</v>
      </c>
      <c r="M26" s="67">
        <f t="shared" si="7"/>
        <v>1113.6794819842748</v>
      </c>
      <c r="N26" s="56"/>
      <c r="P26" s="69">
        <f>ROUND((0.86*J26/('Nová data tabulka Exact'!$U$1-'Nová data tabulka Exact'!$U$2))/(0.86*D26/10),2)</f>
        <v>0.25</v>
      </c>
      <c r="Q26" s="69">
        <f>ROUND((0.86*K26/('Nová data tabulka Exact'!$U$1-'Nová data tabulka Exact'!$U$2))/(0.86*E26/10),2)</f>
        <v>0.25</v>
      </c>
      <c r="R26" s="69">
        <f>ROUND((0.86*L26/('Nová data tabulka Exact'!$U$1-'Nová data tabulka Exact'!$U$2))/(0.86*F26/10),2)</f>
        <v>0.24</v>
      </c>
      <c r="S26" s="69">
        <f>ROUND((0.86*M26/('Nová data tabulka Exact'!$U$1-'Nová data tabulka Exact'!$U$2))/(0.86*G26/10),2)</f>
        <v>0.24</v>
      </c>
    </row>
    <row r="27" spans="2:27" ht="15.5" x14ac:dyDescent="0.35">
      <c r="B27" s="54"/>
      <c r="C27" s="66">
        <v>1000</v>
      </c>
      <c r="D27" s="67">
        <f>VLOOKUP('Nová data tabulka Exact'!$A$15,'Nová data tabulka Exact'!$A$2:$J$13,2,FALSE)</f>
        <v>1028.051203175753</v>
      </c>
      <c r="E27" s="67">
        <f>VLOOKUP('Nová data tabulka Exact'!$A$15,'Nová data tabulka Exact'!$A$2:$J$13,3,FALSE)</f>
        <v>1605.9127745030494</v>
      </c>
      <c r="F27" s="67">
        <f>VLOOKUP('Nová data tabulka Exact'!$A$15,'Nová data tabulka Exact'!$A$2:$J$13,4,FALSE)</f>
        <v>2091.9877036727958</v>
      </c>
      <c r="G27" s="67">
        <f>VLOOKUP('Nová data tabulka Exact'!$A$15,'Nová data tabulka Exact'!$A$2:$J$13,5,FALSE)</f>
        <v>2529.911139669246</v>
      </c>
      <c r="H27" s="68"/>
      <c r="I27" s="66">
        <v>1000</v>
      </c>
      <c r="J27" s="70">
        <f>D27*('Nová data tabulka Exact'!$Z$4/50)^VLOOKUP('Nová data tabulka Exact'!$A$15,'Nová data tabulka Exact'!$A$2:$J$13,7,FALSE)</f>
        <v>504.63463830500876</v>
      </c>
      <c r="K27" s="70">
        <f>E27*('Nová data tabulka Exact'!$Z$4/50)^VLOOKUP('Nová data tabulka Exact'!$A$15,'Nová data tabulka Exact'!$A$2:$J$13,8,FALSE)</f>
        <v>787.34965424499228</v>
      </c>
      <c r="L27" s="70">
        <f>F27*('Nová data tabulka Exact'!$Z$4/50)^VLOOKUP('Nová data tabulka Exact'!$A$15,'Nová data tabulka Exact'!$A$2:$J$13,9,FALSE)</f>
        <v>1024.4439275876421</v>
      </c>
      <c r="M27" s="70">
        <f>G27*('Nová data tabulka Exact'!$Z$4/50)^VLOOKUP('Nová data tabulka Exact'!$A$15,'Nová data tabulka Exact'!$A$2:$J$13,10,FALSE)</f>
        <v>1237.4216466491944</v>
      </c>
      <c r="N27" s="56"/>
      <c r="P27" s="69">
        <f>ROUND((0.86*J27/('Nová data tabulka Exact'!$U$1-'Nová data tabulka Exact'!$U$2))/(0.86*D27/10),2)</f>
        <v>0.25</v>
      </c>
      <c r="Q27" s="69">
        <f>ROUND((0.86*K27/('Nová data tabulka Exact'!$U$1-'Nová data tabulka Exact'!$U$2))/(0.86*E27/10),2)</f>
        <v>0.25</v>
      </c>
      <c r="R27" s="69">
        <f>ROUND((0.86*L27/('Nová data tabulka Exact'!$U$1-'Nová data tabulka Exact'!$U$2))/(0.86*F27/10),2)</f>
        <v>0.24</v>
      </c>
      <c r="S27" s="69">
        <f>ROUND((0.86*M27/('Nová data tabulka Exact'!$U$1-'Nová data tabulka Exact'!$U$2))/(0.86*G27/10),2)</f>
        <v>0.24</v>
      </c>
    </row>
    <row r="28" spans="2:27" ht="15.5" x14ac:dyDescent="0.35">
      <c r="B28" s="54"/>
      <c r="C28" s="66">
        <v>1100</v>
      </c>
      <c r="D28" s="67">
        <f t="shared" ref="D28:D59" si="8">$D$27/1000*C28</f>
        <v>1130.8563234933283</v>
      </c>
      <c r="E28" s="67">
        <f t="shared" ref="E28:E59" si="9">$E$27/1000*C28</f>
        <v>1766.5040519533545</v>
      </c>
      <c r="F28" s="67">
        <f t="shared" ref="F28:F59" si="10">$F$27/1000*C28</f>
        <v>2301.1864740400752</v>
      </c>
      <c r="G28" s="67">
        <f t="shared" ref="G28:G59" si="11">$G$27/1000*C28</f>
        <v>2782.9022536361708</v>
      </c>
      <c r="H28" s="68"/>
      <c r="I28" s="66">
        <v>1100</v>
      </c>
      <c r="J28" s="67">
        <f t="shared" ref="J28:J59" si="12">$J$27/1000*C28</f>
        <v>555.09810213550963</v>
      </c>
      <c r="K28" s="67">
        <f t="shared" ref="K28:K59" si="13">$K$27/1000*C28</f>
        <v>866.08461966949153</v>
      </c>
      <c r="L28" s="67">
        <f t="shared" ref="L28:L59" si="14">$L$27/1000*C28</f>
        <v>1126.8883203464063</v>
      </c>
      <c r="M28" s="67">
        <f t="shared" ref="M28:M59" si="15">$M$27/1000*C28</f>
        <v>1361.1638113141137</v>
      </c>
      <c r="N28" s="56"/>
      <c r="P28" s="69">
        <f>ROUND((0.86*J28/('Nová data tabulka Exact'!$U$1-'Nová data tabulka Exact'!$U$2))/(0.86*D28/10),2)</f>
        <v>0.25</v>
      </c>
      <c r="Q28" s="69">
        <f>ROUND((0.86*K28/('Nová data tabulka Exact'!$U$1-'Nová data tabulka Exact'!$U$2))/(0.86*E28/10),2)</f>
        <v>0.25</v>
      </c>
      <c r="R28" s="69">
        <f>ROUND((0.86*L28/('Nová data tabulka Exact'!$U$1-'Nová data tabulka Exact'!$U$2))/(0.86*F28/10),2)</f>
        <v>0.24</v>
      </c>
      <c r="S28" s="69">
        <f>ROUND((0.86*M28/('Nová data tabulka Exact'!$U$1-'Nová data tabulka Exact'!$U$2))/(0.86*G28/10),2)</f>
        <v>0.24</v>
      </c>
    </row>
    <row r="29" spans="2:27" ht="15.5" x14ac:dyDescent="0.35">
      <c r="B29" s="54"/>
      <c r="C29" s="66">
        <v>1200</v>
      </c>
      <c r="D29" s="67">
        <f t="shared" si="8"/>
        <v>1233.6614438109036</v>
      </c>
      <c r="E29" s="67">
        <f t="shared" si="9"/>
        <v>1927.0953294036594</v>
      </c>
      <c r="F29" s="67">
        <f t="shared" si="10"/>
        <v>2510.3852444073545</v>
      </c>
      <c r="G29" s="67">
        <f t="shared" si="11"/>
        <v>3035.8933676030956</v>
      </c>
      <c r="H29" s="68"/>
      <c r="I29" s="66">
        <v>1200</v>
      </c>
      <c r="J29" s="67">
        <f t="shared" si="12"/>
        <v>605.56156596601056</v>
      </c>
      <c r="K29" s="67">
        <f t="shared" si="13"/>
        <v>944.81958509399067</v>
      </c>
      <c r="L29" s="67">
        <f t="shared" si="14"/>
        <v>1229.3327131051703</v>
      </c>
      <c r="M29" s="67">
        <f t="shared" si="15"/>
        <v>1484.9059759790332</v>
      </c>
      <c r="N29" s="56"/>
      <c r="P29" s="69">
        <f>ROUND((0.86*J29/('Nová data tabulka Exact'!$U$1-'Nová data tabulka Exact'!$U$2))/(0.86*D29/10),2)</f>
        <v>0.25</v>
      </c>
      <c r="Q29" s="69">
        <f>ROUND((0.86*K29/('Nová data tabulka Exact'!$U$1-'Nová data tabulka Exact'!$U$2))/(0.86*E29/10),2)</f>
        <v>0.25</v>
      </c>
      <c r="R29" s="69">
        <f>ROUND((0.86*L29/('Nová data tabulka Exact'!$U$1-'Nová data tabulka Exact'!$U$2))/(0.86*F29/10),2)</f>
        <v>0.24</v>
      </c>
      <c r="S29" s="69">
        <f>ROUND((0.86*M29/('Nová data tabulka Exact'!$U$1-'Nová data tabulka Exact'!$U$2))/(0.86*G29/10),2)</f>
        <v>0.24</v>
      </c>
    </row>
    <row r="30" spans="2:27" ht="15.5" x14ac:dyDescent="0.35">
      <c r="B30" s="54"/>
      <c r="C30" s="66">
        <v>1300</v>
      </c>
      <c r="D30" s="67">
        <f t="shared" si="8"/>
        <v>1336.4665641284789</v>
      </c>
      <c r="E30" s="67">
        <f t="shared" si="9"/>
        <v>2087.6866068539643</v>
      </c>
      <c r="F30" s="67">
        <f t="shared" si="10"/>
        <v>2719.5840147746344</v>
      </c>
      <c r="G30" s="67">
        <f t="shared" si="11"/>
        <v>3288.8844815700199</v>
      </c>
      <c r="H30" s="68"/>
      <c r="I30" s="66">
        <v>1300</v>
      </c>
      <c r="J30" s="67">
        <f t="shared" si="12"/>
        <v>656.02502979651138</v>
      </c>
      <c r="K30" s="67">
        <f t="shared" si="13"/>
        <v>1023.5545505184899</v>
      </c>
      <c r="L30" s="67">
        <f t="shared" si="14"/>
        <v>1331.7771058639346</v>
      </c>
      <c r="M30" s="67">
        <f t="shared" si="15"/>
        <v>1608.6481406439525</v>
      </c>
      <c r="N30" s="56"/>
      <c r="P30" s="69">
        <f>ROUND((0.86*J30/('Nová data tabulka Exact'!$U$1-'Nová data tabulka Exact'!$U$2))/(0.86*D30/10),2)</f>
        <v>0.25</v>
      </c>
      <c r="Q30" s="69">
        <f>ROUND((0.86*K30/('Nová data tabulka Exact'!$U$1-'Nová data tabulka Exact'!$U$2))/(0.86*E30/10),2)</f>
        <v>0.25</v>
      </c>
      <c r="R30" s="69">
        <f>ROUND((0.86*L30/('Nová data tabulka Exact'!$U$1-'Nová data tabulka Exact'!$U$2))/(0.86*F30/10),2)</f>
        <v>0.24</v>
      </c>
      <c r="S30" s="69">
        <f>ROUND((0.86*M30/('Nová data tabulka Exact'!$U$1-'Nová data tabulka Exact'!$U$2))/(0.86*G30/10),2)</f>
        <v>0.24</v>
      </c>
    </row>
    <row r="31" spans="2:27" ht="15.5" x14ac:dyDescent="0.35">
      <c r="B31" s="54"/>
      <c r="C31" s="66">
        <v>1400</v>
      </c>
      <c r="D31" s="67">
        <f t="shared" si="8"/>
        <v>1439.2716844460542</v>
      </c>
      <c r="E31" s="67">
        <f t="shared" si="9"/>
        <v>2248.2778843042693</v>
      </c>
      <c r="F31" s="67">
        <f t="shared" si="10"/>
        <v>2928.7827851419138</v>
      </c>
      <c r="G31" s="67">
        <f t="shared" si="11"/>
        <v>3541.8755955369447</v>
      </c>
      <c r="H31" s="68"/>
      <c r="I31" s="66">
        <v>1400</v>
      </c>
      <c r="J31" s="67">
        <f t="shared" si="12"/>
        <v>706.4884936270123</v>
      </c>
      <c r="K31" s="67">
        <f t="shared" si="13"/>
        <v>1102.2895159429891</v>
      </c>
      <c r="L31" s="67">
        <f t="shared" si="14"/>
        <v>1434.2214986226988</v>
      </c>
      <c r="M31" s="67">
        <f t="shared" si="15"/>
        <v>1732.390305308872</v>
      </c>
      <c r="N31" s="56"/>
      <c r="P31" s="69">
        <f>ROUND((0.86*J31/('Nová data tabulka Exact'!$U$1-'Nová data tabulka Exact'!$U$2))/(0.86*D31/10),2)</f>
        <v>0.25</v>
      </c>
      <c r="Q31" s="69">
        <f>ROUND((0.86*K31/('Nová data tabulka Exact'!$U$1-'Nová data tabulka Exact'!$U$2))/(0.86*E31/10),2)</f>
        <v>0.25</v>
      </c>
      <c r="R31" s="69">
        <f>ROUND((0.86*L31/('Nová data tabulka Exact'!$U$1-'Nová data tabulka Exact'!$U$2))/(0.86*F31/10),2)</f>
        <v>0.24</v>
      </c>
      <c r="S31" s="69">
        <f>ROUND((0.86*M31/('Nová data tabulka Exact'!$U$1-'Nová data tabulka Exact'!$U$2))/(0.86*G31/10),2)</f>
        <v>0.24</v>
      </c>
    </row>
    <row r="32" spans="2:27" ht="15.5" x14ac:dyDescent="0.35">
      <c r="B32" s="54"/>
      <c r="C32" s="66">
        <v>1500</v>
      </c>
      <c r="D32" s="67">
        <f t="shared" si="8"/>
        <v>1542.0768047636293</v>
      </c>
      <c r="E32" s="67">
        <f t="shared" si="9"/>
        <v>2408.8691617545742</v>
      </c>
      <c r="F32" s="67">
        <f t="shared" si="10"/>
        <v>3137.9815555091936</v>
      </c>
      <c r="G32" s="67">
        <f t="shared" si="11"/>
        <v>3794.8667095038691</v>
      </c>
      <c r="H32" s="68"/>
      <c r="I32" s="66">
        <v>1500</v>
      </c>
      <c r="J32" s="67">
        <f t="shared" si="12"/>
        <v>756.95195745751312</v>
      </c>
      <c r="K32" s="67">
        <f t="shared" si="13"/>
        <v>1181.0244813674883</v>
      </c>
      <c r="L32" s="67">
        <f t="shared" si="14"/>
        <v>1536.6658913814631</v>
      </c>
      <c r="M32" s="67">
        <f t="shared" si="15"/>
        <v>1856.1324699737913</v>
      </c>
      <c r="N32" s="56"/>
      <c r="P32" s="69">
        <f>ROUND((0.86*J32/('Nová data tabulka Exact'!$U$1-'Nová data tabulka Exact'!$U$2))/(0.86*D32/10),2)</f>
        <v>0.25</v>
      </c>
      <c r="Q32" s="69">
        <f>ROUND((0.86*K32/('Nová data tabulka Exact'!$U$1-'Nová data tabulka Exact'!$U$2))/(0.86*E32/10),2)</f>
        <v>0.25</v>
      </c>
      <c r="R32" s="69">
        <f>ROUND((0.86*L32/('Nová data tabulka Exact'!$U$1-'Nová data tabulka Exact'!$U$2))/(0.86*F32/10),2)</f>
        <v>0.24</v>
      </c>
      <c r="S32" s="69">
        <f>ROUND((0.86*M32/('Nová data tabulka Exact'!$U$1-'Nová data tabulka Exact'!$U$2))/(0.86*G32/10),2)</f>
        <v>0.24</v>
      </c>
    </row>
    <row r="33" spans="2:19" ht="15.5" x14ac:dyDescent="0.35">
      <c r="B33" s="54"/>
      <c r="C33" s="66">
        <v>1600</v>
      </c>
      <c r="D33" s="67">
        <f t="shared" si="8"/>
        <v>1644.8819250812046</v>
      </c>
      <c r="E33" s="67">
        <f t="shared" si="9"/>
        <v>2569.4604392048791</v>
      </c>
      <c r="F33" s="67">
        <f t="shared" si="10"/>
        <v>3347.180325876473</v>
      </c>
      <c r="G33" s="67">
        <f t="shared" si="11"/>
        <v>4047.8578234707938</v>
      </c>
      <c r="H33" s="68"/>
      <c r="I33" s="66">
        <v>1600</v>
      </c>
      <c r="J33" s="67">
        <f t="shared" si="12"/>
        <v>807.41542128801404</v>
      </c>
      <c r="K33" s="67">
        <f t="shared" si="13"/>
        <v>1259.7594467919876</v>
      </c>
      <c r="L33" s="67">
        <f t="shared" si="14"/>
        <v>1639.1102841402271</v>
      </c>
      <c r="M33" s="67">
        <f t="shared" si="15"/>
        <v>1979.8746346387109</v>
      </c>
      <c r="N33" s="56"/>
      <c r="P33" s="69">
        <f>ROUND((0.86*J33/('Nová data tabulka Exact'!$U$1-'Nová data tabulka Exact'!$U$2))/(0.86*D33/10),2)</f>
        <v>0.25</v>
      </c>
      <c r="Q33" s="69">
        <f>ROUND((0.86*K33/('Nová data tabulka Exact'!$U$1-'Nová data tabulka Exact'!$U$2))/(0.86*E33/10),2)</f>
        <v>0.25</v>
      </c>
      <c r="R33" s="69">
        <f>ROUND((0.86*L33/('Nová data tabulka Exact'!$U$1-'Nová data tabulka Exact'!$U$2))/(0.86*F33/10),2)</f>
        <v>0.24</v>
      </c>
      <c r="S33" s="69">
        <f>ROUND((0.86*M33/('Nová data tabulka Exact'!$U$1-'Nová data tabulka Exact'!$U$2))/(0.86*G33/10),2)</f>
        <v>0.24</v>
      </c>
    </row>
    <row r="34" spans="2:19" ht="15.5" x14ac:dyDescent="0.35">
      <c r="B34" s="54"/>
      <c r="C34" s="66">
        <v>1700</v>
      </c>
      <c r="D34" s="67">
        <f t="shared" si="8"/>
        <v>1747.6870453987799</v>
      </c>
      <c r="E34" s="67">
        <f t="shared" si="9"/>
        <v>2730.051716655184</v>
      </c>
      <c r="F34" s="67">
        <f t="shared" si="10"/>
        <v>3556.3790962437524</v>
      </c>
      <c r="G34" s="67">
        <f t="shared" si="11"/>
        <v>4300.8489374377186</v>
      </c>
      <c r="H34" s="68"/>
      <c r="I34" s="66">
        <v>1700</v>
      </c>
      <c r="J34" s="67">
        <f t="shared" si="12"/>
        <v>857.87888511851486</v>
      </c>
      <c r="K34" s="67">
        <f t="shared" si="13"/>
        <v>1338.4944122164868</v>
      </c>
      <c r="L34" s="67">
        <f t="shared" si="14"/>
        <v>1741.5546768989914</v>
      </c>
      <c r="M34" s="67">
        <f t="shared" si="15"/>
        <v>2103.6167993036302</v>
      </c>
      <c r="N34" s="56"/>
      <c r="P34" s="69">
        <f>ROUND((0.86*J34/('Nová data tabulka Exact'!$U$1-'Nová data tabulka Exact'!$U$2))/(0.86*D34/10),2)</f>
        <v>0.25</v>
      </c>
      <c r="Q34" s="69">
        <f>ROUND((0.86*K34/('Nová data tabulka Exact'!$U$1-'Nová data tabulka Exact'!$U$2))/(0.86*E34/10),2)</f>
        <v>0.25</v>
      </c>
      <c r="R34" s="69">
        <f>ROUND((0.86*L34/('Nová data tabulka Exact'!$U$1-'Nová data tabulka Exact'!$U$2))/(0.86*F34/10),2)</f>
        <v>0.24</v>
      </c>
      <c r="S34" s="69">
        <f>ROUND((0.86*M34/('Nová data tabulka Exact'!$U$1-'Nová data tabulka Exact'!$U$2))/(0.86*G34/10),2)</f>
        <v>0.24</v>
      </c>
    </row>
    <row r="35" spans="2:19" ht="15.5" x14ac:dyDescent="0.35">
      <c r="B35" s="54"/>
      <c r="C35" s="66">
        <v>1800</v>
      </c>
      <c r="D35" s="67">
        <f t="shared" si="8"/>
        <v>1850.4921657163552</v>
      </c>
      <c r="E35" s="67">
        <f t="shared" si="9"/>
        <v>2890.6429941054889</v>
      </c>
      <c r="F35" s="67">
        <f t="shared" si="10"/>
        <v>3765.5778666110323</v>
      </c>
      <c r="G35" s="67">
        <f t="shared" si="11"/>
        <v>4553.8400514046434</v>
      </c>
      <c r="H35" s="68"/>
      <c r="I35" s="66">
        <v>1800</v>
      </c>
      <c r="J35" s="67">
        <f t="shared" si="12"/>
        <v>908.34234894901579</v>
      </c>
      <c r="K35" s="67">
        <f t="shared" si="13"/>
        <v>1417.2293776409861</v>
      </c>
      <c r="L35" s="67">
        <f t="shared" si="14"/>
        <v>1843.9990696577556</v>
      </c>
      <c r="M35" s="67">
        <f t="shared" si="15"/>
        <v>2227.3589639685497</v>
      </c>
      <c r="N35" s="56"/>
      <c r="P35" s="69">
        <f>ROUND((0.86*J35/('Nová data tabulka Exact'!$U$1-'Nová data tabulka Exact'!$U$2))/(0.86*D35/10),2)</f>
        <v>0.25</v>
      </c>
      <c r="Q35" s="69">
        <f>ROUND((0.86*K35/('Nová data tabulka Exact'!$U$1-'Nová data tabulka Exact'!$U$2))/(0.86*E35/10),2)</f>
        <v>0.25</v>
      </c>
      <c r="R35" s="69">
        <f>ROUND((0.86*L35/('Nová data tabulka Exact'!$U$1-'Nová data tabulka Exact'!$U$2))/(0.86*F35/10),2)</f>
        <v>0.24</v>
      </c>
      <c r="S35" s="69">
        <f>ROUND((0.86*M35/('Nová data tabulka Exact'!$U$1-'Nová data tabulka Exact'!$U$2))/(0.86*G35/10),2)</f>
        <v>0.24</v>
      </c>
    </row>
    <row r="36" spans="2:19" ht="15.5" x14ac:dyDescent="0.35">
      <c r="B36" s="54"/>
      <c r="C36" s="66">
        <v>1900</v>
      </c>
      <c r="D36" s="67">
        <f t="shared" si="8"/>
        <v>1953.2972860339305</v>
      </c>
      <c r="E36" s="67">
        <f t="shared" si="9"/>
        <v>3051.2342715557938</v>
      </c>
      <c r="F36" s="67">
        <f t="shared" si="10"/>
        <v>3974.7766369783117</v>
      </c>
      <c r="G36" s="67">
        <f t="shared" si="11"/>
        <v>4806.8311653715682</v>
      </c>
      <c r="H36" s="68"/>
      <c r="I36" s="66">
        <v>1900</v>
      </c>
      <c r="J36" s="67">
        <f t="shared" si="12"/>
        <v>958.8058127795166</v>
      </c>
      <c r="K36" s="67">
        <f t="shared" si="13"/>
        <v>1495.9643430654853</v>
      </c>
      <c r="L36" s="67">
        <f t="shared" si="14"/>
        <v>1946.4434624165199</v>
      </c>
      <c r="M36" s="67">
        <f t="shared" si="15"/>
        <v>2351.1011286334692</v>
      </c>
      <c r="N36" s="56"/>
      <c r="P36" s="69">
        <f>ROUND((0.86*J36/('Nová data tabulka Exact'!$U$1-'Nová data tabulka Exact'!$U$2))/(0.86*D36/10),2)</f>
        <v>0.25</v>
      </c>
      <c r="Q36" s="69">
        <f>ROUND((0.86*K36/('Nová data tabulka Exact'!$U$1-'Nová data tabulka Exact'!$U$2))/(0.86*E36/10),2)</f>
        <v>0.25</v>
      </c>
      <c r="R36" s="69">
        <f>ROUND((0.86*L36/('Nová data tabulka Exact'!$U$1-'Nová data tabulka Exact'!$U$2))/(0.86*F36/10),2)</f>
        <v>0.24</v>
      </c>
      <c r="S36" s="69">
        <f>ROUND((0.86*M36/('Nová data tabulka Exact'!$U$1-'Nová data tabulka Exact'!$U$2))/(0.86*G36/10),2)</f>
        <v>0.24</v>
      </c>
    </row>
    <row r="37" spans="2:19" ht="15.5" x14ac:dyDescent="0.35">
      <c r="B37" s="54"/>
      <c r="C37" s="66">
        <v>2000</v>
      </c>
      <c r="D37" s="67">
        <f t="shared" si="8"/>
        <v>2056.102406351506</v>
      </c>
      <c r="E37" s="67">
        <f t="shared" si="9"/>
        <v>3211.8255490060988</v>
      </c>
      <c r="F37" s="67">
        <f t="shared" si="10"/>
        <v>4183.9754073455915</v>
      </c>
      <c r="G37" s="67">
        <f t="shared" si="11"/>
        <v>5059.8222793384921</v>
      </c>
      <c r="H37" s="68"/>
      <c r="I37" s="66">
        <v>2000</v>
      </c>
      <c r="J37" s="67">
        <f t="shared" si="12"/>
        <v>1009.2692766100175</v>
      </c>
      <c r="K37" s="67">
        <f t="shared" si="13"/>
        <v>1574.6993084899846</v>
      </c>
      <c r="L37" s="67">
        <f t="shared" si="14"/>
        <v>2048.8878551752841</v>
      </c>
      <c r="M37" s="67">
        <f t="shared" si="15"/>
        <v>2474.8432932983887</v>
      </c>
      <c r="N37" s="56"/>
      <c r="P37" s="69">
        <f>ROUND((0.86*J37/('Nová data tabulka Exact'!$U$1-'Nová data tabulka Exact'!$U$2))/(0.86*D37/10),2)</f>
        <v>0.25</v>
      </c>
      <c r="Q37" s="69">
        <f>ROUND((0.86*K37/('Nová data tabulka Exact'!$U$1-'Nová data tabulka Exact'!$U$2))/(0.86*E37/10),2)</f>
        <v>0.25</v>
      </c>
      <c r="R37" s="69">
        <f>ROUND((0.86*L37/('Nová data tabulka Exact'!$U$1-'Nová data tabulka Exact'!$U$2))/(0.86*F37/10),2)</f>
        <v>0.24</v>
      </c>
      <c r="S37" s="69">
        <f>ROUND((0.86*M37/('Nová data tabulka Exact'!$U$1-'Nová data tabulka Exact'!$U$2))/(0.86*G37/10),2)</f>
        <v>0.24</v>
      </c>
    </row>
    <row r="38" spans="2:19" ht="15.5" x14ac:dyDescent="0.35">
      <c r="B38" s="54"/>
      <c r="C38" s="66">
        <v>2100</v>
      </c>
      <c r="D38" s="67">
        <f t="shared" si="8"/>
        <v>2158.9075266690811</v>
      </c>
      <c r="E38" s="67">
        <f t="shared" si="9"/>
        <v>3372.4168264564041</v>
      </c>
      <c r="F38" s="67">
        <f t="shared" si="10"/>
        <v>4393.1741777128709</v>
      </c>
      <c r="G38" s="67">
        <f t="shared" si="11"/>
        <v>5312.8133933054169</v>
      </c>
      <c r="H38" s="68"/>
      <c r="I38" s="66">
        <v>2100</v>
      </c>
      <c r="J38" s="67">
        <f t="shared" si="12"/>
        <v>1059.7327404405185</v>
      </c>
      <c r="K38" s="67">
        <f t="shared" si="13"/>
        <v>1653.4342739144838</v>
      </c>
      <c r="L38" s="67">
        <f t="shared" si="14"/>
        <v>2151.3322479340482</v>
      </c>
      <c r="M38" s="67">
        <f t="shared" si="15"/>
        <v>2598.5854579633078</v>
      </c>
      <c r="N38" s="56"/>
      <c r="P38" s="69">
        <f>ROUND((0.86*J38/('Nová data tabulka Exact'!$U$1-'Nová data tabulka Exact'!$U$2))/(0.86*D38/10),2)</f>
        <v>0.25</v>
      </c>
      <c r="Q38" s="69">
        <f>ROUND((0.86*K38/('Nová data tabulka Exact'!$U$1-'Nová data tabulka Exact'!$U$2))/(0.86*E38/10),2)</f>
        <v>0.25</v>
      </c>
      <c r="R38" s="69">
        <f>ROUND((0.86*L38/('Nová data tabulka Exact'!$U$1-'Nová data tabulka Exact'!$U$2))/(0.86*F38/10),2)</f>
        <v>0.24</v>
      </c>
      <c r="S38" s="69">
        <f>ROUND((0.86*M38/('Nová data tabulka Exact'!$U$1-'Nová data tabulka Exact'!$U$2))/(0.86*G38/10),2)</f>
        <v>0.24</v>
      </c>
    </row>
    <row r="39" spans="2:19" ht="15.5" x14ac:dyDescent="0.35">
      <c r="B39" s="54"/>
      <c r="C39" s="66">
        <v>2200</v>
      </c>
      <c r="D39" s="67">
        <f t="shared" si="8"/>
        <v>2261.7126469866566</v>
      </c>
      <c r="E39" s="67">
        <f t="shared" si="9"/>
        <v>3533.008103906709</v>
      </c>
      <c r="F39" s="67">
        <f t="shared" si="10"/>
        <v>4602.3729480801503</v>
      </c>
      <c r="G39" s="67">
        <f t="shared" si="11"/>
        <v>5565.8045072723417</v>
      </c>
      <c r="H39" s="68"/>
      <c r="I39" s="66">
        <v>2200</v>
      </c>
      <c r="J39" s="67">
        <f t="shared" si="12"/>
        <v>1110.1962042710193</v>
      </c>
      <c r="K39" s="67">
        <f t="shared" si="13"/>
        <v>1732.1692393389831</v>
      </c>
      <c r="L39" s="67">
        <f t="shared" si="14"/>
        <v>2253.7766406928126</v>
      </c>
      <c r="M39" s="67">
        <f t="shared" si="15"/>
        <v>2722.3276226282273</v>
      </c>
      <c r="N39" s="56"/>
      <c r="P39" s="69">
        <f>ROUND((0.86*J39/('Nová data tabulka Exact'!$U$1-'Nová data tabulka Exact'!$U$2))/(0.86*D39/10),2)</f>
        <v>0.25</v>
      </c>
      <c r="Q39" s="69">
        <f>ROUND((0.86*K39/('Nová data tabulka Exact'!$U$1-'Nová data tabulka Exact'!$U$2))/(0.86*E39/10),2)</f>
        <v>0.25</v>
      </c>
      <c r="R39" s="69">
        <f>ROUND((0.86*L39/('Nová data tabulka Exact'!$U$1-'Nová data tabulka Exact'!$U$2))/(0.86*F39/10),2)</f>
        <v>0.24</v>
      </c>
      <c r="S39" s="69">
        <f>ROUND((0.86*M39/('Nová data tabulka Exact'!$U$1-'Nová data tabulka Exact'!$U$2))/(0.86*G39/10),2)</f>
        <v>0.24</v>
      </c>
    </row>
    <row r="40" spans="2:19" ht="15.5" x14ac:dyDescent="0.35">
      <c r="B40" s="54"/>
      <c r="C40" s="66">
        <v>2300</v>
      </c>
      <c r="D40" s="67">
        <f t="shared" si="8"/>
        <v>2364.5177673042317</v>
      </c>
      <c r="E40" s="67">
        <f t="shared" si="9"/>
        <v>3693.599381357014</v>
      </c>
      <c r="F40" s="67">
        <f t="shared" si="10"/>
        <v>4811.5717184474297</v>
      </c>
      <c r="G40" s="67">
        <f t="shared" si="11"/>
        <v>5818.7956212392664</v>
      </c>
      <c r="H40" s="68"/>
      <c r="I40" s="66">
        <v>2300</v>
      </c>
      <c r="J40" s="67">
        <f t="shared" si="12"/>
        <v>1160.6596681015201</v>
      </c>
      <c r="K40" s="67">
        <f t="shared" si="13"/>
        <v>1810.9042047634821</v>
      </c>
      <c r="L40" s="67">
        <f t="shared" si="14"/>
        <v>2356.2210334515767</v>
      </c>
      <c r="M40" s="67">
        <f t="shared" si="15"/>
        <v>2846.0697872931469</v>
      </c>
      <c r="N40" s="56"/>
      <c r="P40" s="69">
        <f>ROUND((0.86*J40/('Nová data tabulka Exact'!$U$1-'Nová data tabulka Exact'!$U$2))/(0.86*D40/10),2)</f>
        <v>0.25</v>
      </c>
      <c r="Q40" s="69">
        <f>ROUND((0.86*K40/('Nová data tabulka Exact'!$U$1-'Nová data tabulka Exact'!$U$2))/(0.86*E40/10),2)</f>
        <v>0.25</v>
      </c>
      <c r="R40" s="69">
        <f>ROUND((0.86*L40/('Nová data tabulka Exact'!$U$1-'Nová data tabulka Exact'!$U$2))/(0.86*F40/10),2)</f>
        <v>0.24</v>
      </c>
      <c r="S40" s="69">
        <f>ROUND((0.86*M40/('Nová data tabulka Exact'!$U$1-'Nová data tabulka Exact'!$U$2))/(0.86*G40/10),2)</f>
        <v>0.24</v>
      </c>
    </row>
    <row r="41" spans="2:19" ht="15.5" x14ac:dyDescent="0.35">
      <c r="B41" s="54"/>
      <c r="C41" s="66">
        <v>2400</v>
      </c>
      <c r="D41" s="67">
        <f t="shared" si="8"/>
        <v>2467.3228876218072</v>
      </c>
      <c r="E41" s="67">
        <f t="shared" si="9"/>
        <v>3854.1906588073189</v>
      </c>
      <c r="F41" s="67">
        <f t="shared" si="10"/>
        <v>5020.7704888147091</v>
      </c>
      <c r="G41" s="67">
        <f t="shared" si="11"/>
        <v>6071.7867352061912</v>
      </c>
      <c r="H41" s="68"/>
      <c r="I41" s="66">
        <v>2400</v>
      </c>
      <c r="J41" s="67">
        <f t="shared" si="12"/>
        <v>1211.1231319320211</v>
      </c>
      <c r="K41" s="67">
        <f t="shared" si="13"/>
        <v>1889.6391701879813</v>
      </c>
      <c r="L41" s="67">
        <f t="shared" si="14"/>
        <v>2458.6654262103407</v>
      </c>
      <c r="M41" s="67">
        <f t="shared" si="15"/>
        <v>2969.8119519580664</v>
      </c>
      <c r="N41" s="56"/>
      <c r="P41" s="69">
        <f>ROUND((0.86*J41/('Nová data tabulka Exact'!$U$1-'Nová data tabulka Exact'!$U$2))/(0.86*D41/10),2)</f>
        <v>0.25</v>
      </c>
      <c r="Q41" s="69">
        <f>ROUND((0.86*K41/('Nová data tabulka Exact'!$U$1-'Nová data tabulka Exact'!$U$2))/(0.86*E41/10),2)</f>
        <v>0.25</v>
      </c>
      <c r="R41" s="69">
        <f>ROUND((0.86*L41/('Nová data tabulka Exact'!$U$1-'Nová data tabulka Exact'!$U$2))/(0.86*F41/10),2)</f>
        <v>0.24</v>
      </c>
      <c r="S41" s="69">
        <f>ROUND((0.86*M41/('Nová data tabulka Exact'!$U$1-'Nová data tabulka Exact'!$U$2))/(0.86*G41/10),2)</f>
        <v>0.24</v>
      </c>
    </row>
    <row r="42" spans="2:19" ht="15.5" x14ac:dyDescent="0.35">
      <c r="B42" s="54"/>
      <c r="C42" s="66">
        <v>2500</v>
      </c>
      <c r="D42" s="67">
        <f t="shared" si="8"/>
        <v>2570.1280079393823</v>
      </c>
      <c r="E42" s="67">
        <f t="shared" si="9"/>
        <v>4014.7819362576238</v>
      </c>
      <c r="F42" s="67">
        <f t="shared" si="10"/>
        <v>5229.9692591819894</v>
      </c>
      <c r="G42" s="67">
        <f t="shared" si="11"/>
        <v>6324.7778491731151</v>
      </c>
      <c r="H42" s="68"/>
      <c r="I42" s="66">
        <v>2500</v>
      </c>
      <c r="J42" s="67">
        <f t="shared" si="12"/>
        <v>1261.5865957625219</v>
      </c>
      <c r="K42" s="67">
        <f t="shared" si="13"/>
        <v>1968.3741356124806</v>
      </c>
      <c r="L42" s="67">
        <f t="shared" si="14"/>
        <v>2561.1098189691052</v>
      </c>
      <c r="M42" s="67">
        <f t="shared" si="15"/>
        <v>3093.5541166229859</v>
      </c>
      <c r="N42" s="56"/>
      <c r="P42" s="69">
        <f>ROUND((0.86*J42/('Nová data tabulka Exact'!$U$1-'Nová data tabulka Exact'!$U$2))/(0.86*D42/10),2)</f>
        <v>0.25</v>
      </c>
      <c r="Q42" s="69">
        <f>ROUND((0.86*K42/('Nová data tabulka Exact'!$U$1-'Nová data tabulka Exact'!$U$2))/(0.86*E42/10),2)</f>
        <v>0.25</v>
      </c>
      <c r="R42" s="69">
        <f>ROUND((0.86*L42/('Nová data tabulka Exact'!$U$1-'Nová data tabulka Exact'!$U$2))/(0.86*F42/10),2)</f>
        <v>0.24</v>
      </c>
      <c r="S42" s="69">
        <f>ROUND((0.86*M42/('Nová data tabulka Exact'!$U$1-'Nová data tabulka Exact'!$U$2))/(0.86*G42/10),2)</f>
        <v>0.24</v>
      </c>
    </row>
    <row r="43" spans="2:19" ht="15.5" x14ac:dyDescent="0.35">
      <c r="B43" s="54"/>
      <c r="C43" s="66">
        <v>2600</v>
      </c>
      <c r="D43" s="67">
        <f t="shared" si="8"/>
        <v>2672.9331282569578</v>
      </c>
      <c r="E43" s="67">
        <f t="shared" si="9"/>
        <v>4175.3732137079287</v>
      </c>
      <c r="F43" s="67">
        <f t="shared" si="10"/>
        <v>5439.1680295492688</v>
      </c>
      <c r="G43" s="67">
        <f t="shared" si="11"/>
        <v>6577.7689631400399</v>
      </c>
      <c r="H43" s="68"/>
      <c r="I43" s="66">
        <v>2600</v>
      </c>
      <c r="J43" s="67">
        <f t="shared" si="12"/>
        <v>1312.0500595930228</v>
      </c>
      <c r="K43" s="67">
        <f t="shared" si="13"/>
        <v>2047.1091010369798</v>
      </c>
      <c r="L43" s="67">
        <f t="shared" si="14"/>
        <v>2663.5542117278692</v>
      </c>
      <c r="M43" s="67">
        <f t="shared" si="15"/>
        <v>3217.296281287905</v>
      </c>
      <c r="N43" s="56"/>
      <c r="P43" s="69">
        <f>ROUND((0.86*J43/('Nová data tabulka Exact'!$U$1-'Nová data tabulka Exact'!$U$2))/(0.86*D43/10),2)</f>
        <v>0.25</v>
      </c>
      <c r="Q43" s="69">
        <f>ROUND((0.86*K43/('Nová data tabulka Exact'!$U$1-'Nová data tabulka Exact'!$U$2))/(0.86*E43/10),2)</f>
        <v>0.25</v>
      </c>
      <c r="R43" s="69">
        <f>ROUND((0.86*L43/('Nová data tabulka Exact'!$U$1-'Nová data tabulka Exact'!$U$2))/(0.86*F43/10),2)</f>
        <v>0.24</v>
      </c>
      <c r="S43" s="69">
        <f>ROUND((0.86*M43/('Nová data tabulka Exact'!$U$1-'Nová data tabulka Exact'!$U$2))/(0.86*G43/10),2)</f>
        <v>0.24</v>
      </c>
    </row>
    <row r="44" spans="2:19" ht="15.5" x14ac:dyDescent="0.35">
      <c r="B44" s="54"/>
      <c r="C44" s="66">
        <v>2700</v>
      </c>
      <c r="D44" s="67">
        <f t="shared" si="8"/>
        <v>2775.7382485745329</v>
      </c>
      <c r="E44" s="67">
        <f t="shared" si="9"/>
        <v>4335.9644911582336</v>
      </c>
      <c r="F44" s="67">
        <f t="shared" si="10"/>
        <v>5648.3667999165482</v>
      </c>
      <c r="G44" s="67">
        <f t="shared" si="11"/>
        <v>6830.7600771069647</v>
      </c>
      <c r="H44" s="68"/>
      <c r="I44" s="66">
        <v>2700</v>
      </c>
      <c r="J44" s="67">
        <f t="shared" si="12"/>
        <v>1362.5135234235236</v>
      </c>
      <c r="K44" s="67">
        <f t="shared" si="13"/>
        <v>2125.8440664614791</v>
      </c>
      <c r="L44" s="67">
        <f t="shared" si="14"/>
        <v>2765.9986044866337</v>
      </c>
      <c r="M44" s="67">
        <f t="shared" si="15"/>
        <v>3341.0384459528245</v>
      </c>
      <c r="N44" s="56"/>
      <c r="P44" s="69">
        <f>ROUND((0.86*J44/('Nová data tabulka Exact'!$U$1-'Nová data tabulka Exact'!$U$2))/(0.86*D44/10),2)</f>
        <v>0.25</v>
      </c>
      <c r="Q44" s="69">
        <f>ROUND((0.86*K44/('Nová data tabulka Exact'!$U$1-'Nová data tabulka Exact'!$U$2))/(0.86*E44/10),2)</f>
        <v>0.25</v>
      </c>
      <c r="R44" s="69">
        <f>ROUND((0.86*L44/('Nová data tabulka Exact'!$U$1-'Nová data tabulka Exact'!$U$2))/(0.86*F44/10),2)</f>
        <v>0.24</v>
      </c>
      <c r="S44" s="69">
        <f>ROUND((0.86*M44/('Nová data tabulka Exact'!$U$1-'Nová data tabulka Exact'!$U$2))/(0.86*G44/10),2)</f>
        <v>0.24</v>
      </c>
    </row>
    <row r="45" spans="2:19" ht="15.5" x14ac:dyDescent="0.35">
      <c r="B45" s="54"/>
      <c r="C45" s="66">
        <v>2800</v>
      </c>
      <c r="D45" s="67">
        <f t="shared" si="8"/>
        <v>2878.5433688921084</v>
      </c>
      <c r="E45" s="67">
        <f t="shared" si="9"/>
        <v>4496.5557686085385</v>
      </c>
      <c r="F45" s="67">
        <f t="shared" si="10"/>
        <v>5857.5655702838276</v>
      </c>
      <c r="G45" s="67">
        <f t="shared" si="11"/>
        <v>7083.7511910738895</v>
      </c>
      <c r="H45" s="68"/>
      <c r="I45" s="66">
        <v>2800</v>
      </c>
      <c r="J45" s="67">
        <f t="shared" si="12"/>
        <v>1412.9769872540246</v>
      </c>
      <c r="K45" s="67">
        <f t="shared" si="13"/>
        <v>2204.5790318859781</v>
      </c>
      <c r="L45" s="67">
        <f t="shared" si="14"/>
        <v>2868.4429972453977</v>
      </c>
      <c r="M45" s="67">
        <f t="shared" si="15"/>
        <v>3464.7806106177441</v>
      </c>
      <c r="N45" s="56"/>
      <c r="P45" s="69">
        <f>ROUND((0.86*J45/('Nová data tabulka Exact'!$U$1-'Nová data tabulka Exact'!$U$2))/(0.86*D45/10),2)</f>
        <v>0.25</v>
      </c>
      <c r="Q45" s="69">
        <f>ROUND((0.86*K45/('Nová data tabulka Exact'!$U$1-'Nová data tabulka Exact'!$U$2))/(0.86*E45/10),2)</f>
        <v>0.25</v>
      </c>
      <c r="R45" s="69">
        <f>ROUND((0.86*L45/('Nová data tabulka Exact'!$U$1-'Nová data tabulka Exact'!$U$2))/(0.86*F45/10),2)</f>
        <v>0.24</v>
      </c>
      <c r="S45" s="69">
        <f>ROUND((0.86*M45/('Nová data tabulka Exact'!$U$1-'Nová data tabulka Exact'!$U$2))/(0.86*G45/10),2)</f>
        <v>0.24</v>
      </c>
    </row>
    <row r="46" spans="2:19" ht="15.5" x14ac:dyDescent="0.35">
      <c r="B46" s="54"/>
      <c r="C46" s="66">
        <v>2900</v>
      </c>
      <c r="D46" s="67">
        <f t="shared" si="8"/>
        <v>2981.3484892096835</v>
      </c>
      <c r="E46" s="67">
        <f t="shared" si="9"/>
        <v>4657.1470460588434</v>
      </c>
      <c r="F46" s="67">
        <f t="shared" si="10"/>
        <v>6066.764340651107</v>
      </c>
      <c r="G46" s="67">
        <f t="shared" si="11"/>
        <v>7336.7423050408142</v>
      </c>
      <c r="H46" s="68"/>
      <c r="I46" s="66">
        <v>2900</v>
      </c>
      <c r="J46" s="67">
        <f t="shared" si="12"/>
        <v>1463.4404510845254</v>
      </c>
      <c r="K46" s="67">
        <f t="shared" si="13"/>
        <v>2283.3139973104776</v>
      </c>
      <c r="L46" s="67">
        <f t="shared" si="14"/>
        <v>2970.8873900041617</v>
      </c>
      <c r="M46" s="67">
        <f t="shared" si="15"/>
        <v>3588.5227752826636</v>
      </c>
      <c r="N46" s="56"/>
      <c r="P46" s="69">
        <f>ROUND((0.86*J46/('Nová data tabulka Exact'!$U$1-'Nová data tabulka Exact'!$U$2))/(0.86*D46/10),2)</f>
        <v>0.25</v>
      </c>
      <c r="Q46" s="69">
        <f>ROUND((0.86*K46/('Nová data tabulka Exact'!$U$1-'Nová data tabulka Exact'!$U$2))/(0.86*E46/10),2)</f>
        <v>0.25</v>
      </c>
      <c r="R46" s="69">
        <f>ROUND((0.86*L46/('Nová data tabulka Exact'!$U$1-'Nová data tabulka Exact'!$U$2))/(0.86*F46/10),2)</f>
        <v>0.24</v>
      </c>
      <c r="S46" s="69">
        <f>ROUND((0.86*M46/('Nová data tabulka Exact'!$U$1-'Nová data tabulka Exact'!$U$2))/(0.86*G46/10),2)</f>
        <v>0.24</v>
      </c>
    </row>
    <row r="47" spans="2:19" ht="15.5" x14ac:dyDescent="0.35">
      <c r="B47" s="54"/>
      <c r="C47" s="66">
        <v>3000</v>
      </c>
      <c r="D47" s="67">
        <f t="shared" si="8"/>
        <v>3084.1536095272586</v>
      </c>
      <c r="E47" s="67">
        <f t="shared" si="9"/>
        <v>4817.7383235091484</v>
      </c>
      <c r="F47" s="67">
        <f t="shared" si="10"/>
        <v>6275.9631110183873</v>
      </c>
      <c r="G47" s="67">
        <f t="shared" si="11"/>
        <v>7589.7334190077381</v>
      </c>
      <c r="H47" s="68"/>
      <c r="I47" s="66">
        <v>3000</v>
      </c>
      <c r="J47" s="67">
        <f t="shared" si="12"/>
        <v>1513.9039149150262</v>
      </c>
      <c r="K47" s="67">
        <f t="shared" si="13"/>
        <v>2362.0489627349766</v>
      </c>
      <c r="L47" s="67">
        <f t="shared" si="14"/>
        <v>3073.3317827629262</v>
      </c>
      <c r="M47" s="67">
        <f t="shared" si="15"/>
        <v>3712.2649399475827</v>
      </c>
      <c r="N47" s="56"/>
      <c r="P47" s="69">
        <f>ROUND((0.86*J47/('Nová data tabulka Exact'!$U$1-'Nová data tabulka Exact'!$U$2))/(0.86*D47/10),2)</f>
        <v>0.25</v>
      </c>
      <c r="Q47" s="69">
        <f>ROUND((0.86*K47/('Nová data tabulka Exact'!$U$1-'Nová data tabulka Exact'!$U$2))/(0.86*E47/10),2)</f>
        <v>0.25</v>
      </c>
      <c r="R47" s="69">
        <f>ROUND((0.86*L47/('Nová data tabulka Exact'!$U$1-'Nová data tabulka Exact'!$U$2))/(0.86*F47/10),2)</f>
        <v>0.24</v>
      </c>
      <c r="S47" s="69">
        <f>ROUND((0.86*M47/('Nová data tabulka Exact'!$U$1-'Nová data tabulka Exact'!$U$2))/(0.86*G47/10),2)</f>
        <v>0.24</v>
      </c>
    </row>
    <row r="48" spans="2:19" ht="15.5" x14ac:dyDescent="0.35">
      <c r="B48" s="54"/>
      <c r="C48" s="66">
        <v>3100</v>
      </c>
      <c r="D48" s="67">
        <f t="shared" si="8"/>
        <v>3186.9587298448341</v>
      </c>
      <c r="E48" s="67">
        <f t="shared" si="9"/>
        <v>4978.3296009594533</v>
      </c>
      <c r="F48" s="67">
        <f t="shared" si="10"/>
        <v>6485.1618813856667</v>
      </c>
      <c r="G48" s="67">
        <f t="shared" si="11"/>
        <v>7842.7245329746629</v>
      </c>
      <c r="H48" s="68"/>
      <c r="I48" s="66">
        <v>3100</v>
      </c>
      <c r="J48" s="67">
        <f t="shared" si="12"/>
        <v>1564.3673787455273</v>
      </c>
      <c r="K48" s="67">
        <f t="shared" si="13"/>
        <v>2440.7839281594761</v>
      </c>
      <c r="L48" s="67">
        <f t="shared" si="14"/>
        <v>3175.7761755216902</v>
      </c>
      <c r="M48" s="67">
        <f t="shared" si="15"/>
        <v>3836.0071046125022</v>
      </c>
      <c r="N48" s="56"/>
      <c r="P48" s="69">
        <f>ROUND((0.86*J48/('Nová data tabulka Exact'!$U$1-'Nová data tabulka Exact'!$U$2))/(0.86*D48/10),2)</f>
        <v>0.25</v>
      </c>
      <c r="Q48" s="69">
        <f>ROUND((0.86*K48/('Nová data tabulka Exact'!$U$1-'Nová data tabulka Exact'!$U$2))/(0.86*E48/10),2)</f>
        <v>0.25</v>
      </c>
      <c r="R48" s="69">
        <f>ROUND((0.86*L48/('Nová data tabulka Exact'!$U$1-'Nová data tabulka Exact'!$U$2))/(0.86*F48/10),2)</f>
        <v>0.24</v>
      </c>
      <c r="S48" s="69">
        <f>ROUND((0.86*M48/('Nová data tabulka Exact'!$U$1-'Nová data tabulka Exact'!$U$2))/(0.86*G48/10),2)</f>
        <v>0.24</v>
      </c>
    </row>
    <row r="49" spans="2:19" ht="15.5" x14ac:dyDescent="0.35">
      <c r="B49" s="54"/>
      <c r="C49" s="66">
        <v>3200</v>
      </c>
      <c r="D49" s="67">
        <f t="shared" si="8"/>
        <v>3289.7638501624092</v>
      </c>
      <c r="E49" s="67">
        <f t="shared" si="9"/>
        <v>5138.9208784097582</v>
      </c>
      <c r="F49" s="67">
        <f t="shared" si="10"/>
        <v>6694.3606517529461</v>
      </c>
      <c r="G49" s="67">
        <f t="shared" si="11"/>
        <v>8095.7156469415877</v>
      </c>
      <c r="H49" s="68"/>
      <c r="I49" s="66">
        <v>3200</v>
      </c>
      <c r="J49" s="67">
        <f t="shared" si="12"/>
        <v>1614.8308425760281</v>
      </c>
      <c r="K49" s="67">
        <f t="shared" si="13"/>
        <v>2519.5188935839751</v>
      </c>
      <c r="L49" s="67">
        <f t="shared" si="14"/>
        <v>3278.2205682804542</v>
      </c>
      <c r="M49" s="67">
        <f t="shared" si="15"/>
        <v>3959.7492692774217</v>
      </c>
      <c r="N49" s="56"/>
      <c r="P49" s="69">
        <f>ROUND((0.86*J49/('Nová data tabulka Exact'!$U$1-'Nová data tabulka Exact'!$U$2))/(0.86*D49/10),2)</f>
        <v>0.25</v>
      </c>
      <c r="Q49" s="69">
        <f>ROUND((0.86*K49/('Nová data tabulka Exact'!$U$1-'Nová data tabulka Exact'!$U$2))/(0.86*E49/10),2)</f>
        <v>0.25</v>
      </c>
      <c r="R49" s="69">
        <f>ROUND((0.86*L49/('Nová data tabulka Exact'!$U$1-'Nová data tabulka Exact'!$U$2))/(0.86*F49/10),2)</f>
        <v>0.24</v>
      </c>
      <c r="S49" s="69">
        <f>ROUND((0.86*M49/('Nová data tabulka Exact'!$U$1-'Nová data tabulka Exact'!$U$2))/(0.86*G49/10),2)</f>
        <v>0.24</v>
      </c>
    </row>
    <row r="50" spans="2:19" ht="15.5" x14ac:dyDescent="0.35">
      <c r="B50" s="54"/>
      <c r="C50" s="66">
        <v>3300</v>
      </c>
      <c r="D50" s="67">
        <f t="shared" si="8"/>
        <v>3392.5689704799847</v>
      </c>
      <c r="E50" s="67">
        <f t="shared" si="9"/>
        <v>5299.5121558600631</v>
      </c>
      <c r="F50" s="67">
        <f t="shared" si="10"/>
        <v>6903.5594221202255</v>
      </c>
      <c r="G50" s="67">
        <f t="shared" si="11"/>
        <v>8348.7067609085116</v>
      </c>
      <c r="H50" s="68"/>
      <c r="I50" s="66">
        <v>3300</v>
      </c>
      <c r="J50" s="67">
        <f t="shared" si="12"/>
        <v>1665.2943064065289</v>
      </c>
      <c r="K50" s="67">
        <f t="shared" si="13"/>
        <v>2598.2538590084746</v>
      </c>
      <c r="L50" s="67">
        <f t="shared" si="14"/>
        <v>3380.6649610392187</v>
      </c>
      <c r="M50" s="67">
        <f t="shared" si="15"/>
        <v>4083.4914339423412</v>
      </c>
      <c r="N50" s="56"/>
      <c r="P50" s="69">
        <f>ROUND((0.86*J50/('Nová data tabulka Exact'!$U$1-'Nová data tabulka Exact'!$U$2))/(0.86*D50/10),2)</f>
        <v>0.25</v>
      </c>
      <c r="Q50" s="69">
        <f>ROUND((0.86*K50/('Nová data tabulka Exact'!$U$1-'Nová data tabulka Exact'!$U$2))/(0.86*E50/10),2)</f>
        <v>0.25</v>
      </c>
      <c r="R50" s="69">
        <f>ROUND((0.86*L50/('Nová data tabulka Exact'!$U$1-'Nová data tabulka Exact'!$U$2))/(0.86*F50/10),2)</f>
        <v>0.24</v>
      </c>
      <c r="S50" s="69">
        <f>ROUND((0.86*M50/('Nová data tabulka Exact'!$U$1-'Nová data tabulka Exact'!$U$2))/(0.86*G50/10),2)</f>
        <v>0.24</v>
      </c>
    </row>
    <row r="51" spans="2:19" ht="15.5" x14ac:dyDescent="0.35">
      <c r="B51" s="54"/>
      <c r="C51" s="66">
        <v>3400</v>
      </c>
      <c r="D51" s="67">
        <f t="shared" si="8"/>
        <v>3495.3740907975598</v>
      </c>
      <c r="E51" s="67">
        <f t="shared" si="9"/>
        <v>5460.103433310368</v>
      </c>
      <c r="F51" s="67">
        <f t="shared" si="10"/>
        <v>7112.7581924875049</v>
      </c>
      <c r="G51" s="67">
        <f t="shared" si="11"/>
        <v>8601.6978748754373</v>
      </c>
      <c r="H51" s="68"/>
      <c r="I51" s="66">
        <v>3400</v>
      </c>
      <c r="J51" s="67">
        <f t="shared" si="12"/>
        <v>1715.7577702370297</v>
      </c>
      <c r="K51" s="67">
        <f t="shared" si="13"/>
        <v>2676.9888244329736</v>
      </c>
      <c r="L51" s="67">
        <f t="shared" si="14"/>
        <v>3483.1093537979827</v>
      </c>
      <c r="M51" s="67">
        <f t="shared" si="15"/>
        <v>4207.2335986072603</v>
      </c>
      <c r="N51" s="56"/>
      <c r="P51" s="69">
        <f>ROUND((0.86*J51/('Nová data tabulka Exact'!$U$1-'Nová data tabulka Exact'!$U$2))/(0.86*D51/10),2)</f>
        <v>0.25</v>
      </c>
      <c r="Q51" s="69">
        <f>ROUND((0.86*K51/('Nová data tabulka Exact'!$U$1-'Nová data tabulka Exact'!$U$2))/(0.86*E51/10),2)</f>
        <v>0.25</v>
      </c>
      <c r="R51" s="69">
        <f>ROUND((0.86*L51/('Nová data tabulka Exact'!$U$1-'Nová data tabulka Exact'!$U$2))/(0.86*F51/10),2)</f>
        <v>0.24</v>
      </c>
      <c r="S51" s="69">
        <f>ROUND((0.86*M51/('Nová data tabulka Exact'!$U$1-'Nová data tabulka Exact'!$U$2))/(0.86*G51/10),2)</f>
        <v>0.24</v>
      </c>
    </row>
    <row r="52" spans="2:19" ht="15.5" x14ac:dyDescent="0.35">
      <c r="B52" s="54"/>
      <c r="C52" s="66">
        <v>3500</v>
      </c>
      <c r="D52" s="67">
        <f t="shared" si="8"/>
        <v>3598.1792111151353</v>
      </c>
      <c r="E52" s="67">
        <f t="shared" si="9"/>
        <v>5620.6947107606729</v>
      </c>
      <c r="F52" s="67">
        <f t="shared" si="10"/>
        <v>7321.9569628547843</v>
      </c>
      <c r="G52" s="67">
        <f t="shared" si="11"/>
        <v>8854.6889888423611</v>
      </c>
      <c r="H52" s="68"/>
      <c r="I52" s="66">
        <v>3500</v>
      </c>
      <c r="J52" s="67">
        <f t="shared" si="12"/>
        <v>1766.2212340675308</v>
      </c>
      <c r="K52" s="67">
        <f t="shared" si="13"/>
        <v>2755.7237898574731</v>
      </c>
      <c r="L52" s="67">
        <f t="shared" si="14"/>
        <v>3585.5537465567472</v>
      </c>
      <c r="M52" s="67">
        <f t="shared" si="15"/>
        <v>4330.9757632721803</v>
      </c>
      <c r="N52" s="56"/>
      <c r="P52" s="69">
        <f>ROUND((0.86*J52/('Nová data tabulka Exact'!$U$1-'Nová data tabulka Exact'!$U$2))/(0.86*D52/10),2)</f>
        <v>0.25</v>
      </c>
      <c r="Q52" s="69">
        <f>ROUND((0.86*K52/('Nová data tabulka Exact'!$U$1-'Nová data tabulka Exact'!$U$2))/(0.86*E52/10),2)</f>
        <v>0.25</v>
      </c>
      <c r="R52" s="69">
        <f>ROUND((0.86*L52/('Nová data tabulka Exact'!$U$1-'Nová data tabulka Exact'!$U$2))/(0.86*F52/10),2)</f>
        <v>0.24</v>
      </c>
      <c r="S52" s="69">
        <f>ROUND((0.86*M52/('Nová data tabulka Exact'!$U$1-'Nová data tabulka Exact'!$U$2))/(0.86*G52/10),2)</f>
        <v>0.24</v>
      </c>
    </row>
    <row r="53" spans="2:19" ht="15.5" x14ac:dyDescent="0.35">
      <c r="B53" s="54"/>
      <c r="C53" s="66">
        <v>3600</v>
      </c>
      <c r="D53" s="67">
        <f t="shared" si="8"/>
        <v>3700.9843314327104</v>
      </c>
      <c r="E53" s="67">
        <f t="shared" si="9"/>
        <v>5781.2859882109778</v>
      </c>
      <c r="F53" s="67">
        <f t="shared" si="10"/>
        <v>7531.1557332220646</v>
      </c>
      <c r="G53" s="67">
        <f t="shared" si="11"/>
        <v>9107.6801028092868</v>
      </c>
      <c r="H53" s="68"/>
      <c r="I53" s="66">
        <v>3600</v>
      </c>
      <c r="J53" s="67">
        <f t="shared" si="12"/>
        <v>1816.6846978980316</v>
      </c>
      <c r="K53" s="67">
        <f t="shared" si="13"/>
        <v>2834.4587552819721</v>
      </c>
      <c r="L53" s="67">
        <f t="shared" si="14"/>
        <v>3687.9981393155113</v>
      </c>
      <c r="M53" s="67">
        <f t="shared" si="15"/>
        <v>4454.7179279370994</v>
      </c>
      <c r="N53" s="56"/>
      <c r="P53" s="69">
        <f>ROUND((0.86*J53/('Nová data tabulka Exact'!$U$1-'Nová data tabulka Exact'!$U$2))/(0.86*D53/10),2)</f>
        <v>0.25</v>
      </c>
      <c r="Q53" s="69">
        <f>ROUND((0.86*K53/('Nová data tabulka Exact'!$U$1-'Nová data tabulka Exact'!$U$2))/(0.86*E53/10),2)</f>
        <v>0.25</v>
      </c>
      <c r="R53" s="69">
        <f>ROUND((0.86*L53/('Nová data tabulka Exact'!$U$1-'Nová data tabulka Exact'!$U$2))/(0.86*F53/10),2)</f>
        <v>0.24</v>
      </c>
      <c r="S53" s="69">
        <f>ROUND((0.86*M53/('Nová data tabulka Exact'!$U$1-'Nová data tabulka Exact'!$U$2))/(0.86*G53/10),2)</f>
        <v>0.24</v>
      </c>
    </row>
    <row r="54" spans="2:19" ht="15.5" x14ac:dyDescent="0.35">
      <c r="B54" s="54"/>
      <c r="C54" s="66">
        <v>3700</v>
      </c>
      <c r="D54" s="67">
        <f t="shared" si="8"/>
        <v>3803.7894517502859</v>
      </c>
      <c r="E54" s="67">
        <f t="shared" si="9"/>
        <v>5941.8772656612828</v>
      </c>
      <c r="F54" s="67">
        <f t="shared" si="10"/>
        <v>7740.3545035893439</v>
      </c>
      <c r="G54" s="67">
        <f t="shared" si="11"/>
        <v>9360.6712167762107</v>
      </c>
      <c r="H54" s="68"/>
      <c r="I54" s="66">
        <v>3700</v>
      </c>
      <c r="J54" s="67">
        <f t="shared" si="12"/>
        <v>1867.1481617285324</v>
      </c>
      <c r="K54" s="67">
        <f t="shared" si="13"/>
        <v>2913.1937207064711</v>
      </c>
      <c r="L54" s="67">
        <f t="shared" si="14"/>
        <v>3790.4425320742753</v>
      </c>
      <c r="M54" s="67">
        <f t="shared" si="15"/>
        <v>4578.4600926020184</v>
      </c>
      <c r="N54" s="56"/>
      <c r="P54" s="69">
        <f>ROUND((0.86*J54/('Nová data tabulka Exact'!$U$1-'Nová data tabulka Exact'!$U$2))/(0.86*D54/10),2)</f>
        <v>0.25</v>
      </c>
      <c r="Q54" s="69">
        <f>ROUND((0.86*K54/('Nová data tabulka Exact'!$U$1-'Nová data tabulka Exact'!$U$2))/(0.86*E54/10),2)</f>
        <v>0.25</v>
      </c>
      <c r="R54" s="69">
        <f>ROUND((0.86*L54/('Nová data tabulka Exact'!$U$1-'Nová data tabulka Exact'!$U$2))/(0.86*F54/10),2)</f>
        <v>0.24</v>
      </c>
      <c r="S54" s="69">
        <f>ROUND((0.86*M54/('Nová data tabulka Exact'!$U$1-'Nová data tabulka Exact'!$U$2))/(0.86*G54/10),2)</f>
        <v>0.24</v>
      </c>
    </row>
    <row r="55" spans="2:19" ht="15.5" x14ac:dyDescent="0.35">
      <c r="B55" s="54"/>
      <c r="C55" s="66">
        <v>3800</v>
      </c>
      <c r="D55" s="67">
        <f t="shared" si="8"/>
        <v>3906.594572067861</v>
      </c>
      <c r="E55" s="67">
        <f t="shared" si="9"/>
        <v>6102.4685431115877</v>
      </c>
      <c r="F55" s="67">
        <f t="shared" si="10"/>
        <v>7949.5532739566233</v>
      </c>
      <c r="G55" s="67">
        <f t="shared" si="11"/>
        <v>9613.6623307431364</v>
      </c>
      <c r="H55" s="68"/>
      <c r="I55" s="66">
        <v>3800</v>
      </c>
      <c r="J55" s="67">
        <f t="shared" si="12"/>
        <v>1917.6116255590332</v>
      </c>
      <c r="K55" s="67">
        <f t="shared" si="13"/>
        <v>2991.9286861309706</v>
      </c>
      <c r="L55" s="67">
        <f t="shared" si="14"/>
        <v>3892.8869248330398</v>
      </c>
      <c r="M55" s="67">
        <f t="shared" si="15"/>
        <v>4702.2022572669384</v>
      </c>
      <c r="N55" s="56"/>
      <c r="P55" s="69">
        <f>ROUND((0.86*J55/('Nová data tabulka Exact'!$U$1-'Nová data tabulka Exact'!$U$2))/(0.86*D55/10),2)</f>
        <v>0.25</v>
      </c>
      <c r="Q55" s="69">
        <f>ROUND((0.86*K55/('Nová data tabulka Exact'!$U$1-'Nová data tabulka Exact'!$U$2))/(0.86*E55/10),2)</f>
        <v>0.25</v>
      </c>
      <c r="R55" s="69">
        <f>ROUND((0.86*L55/('Nová data tabulka Exact'!$U$1-'Nová data tabulka Exact'!$U$2))/(0.86*F55/10),2)</f>
        <v>0.24</v>
      </c>
      <c r="S55" s="69">
        <f>ROUND((0.86*M55/('Nová data tabulka Exact'!$U$1-'Nová data tabulka Exact'!$U$2))/(0.86*G55/10),2)</f>
        <v>0.24</v>
      </c>
    </row>
    <row r="56" spans="2:19" ht="15.5" x14ac:dyDescent="0.35">
      <c r="B56" s="54"/>
      <c r="C56" s="66">
        <v>3900</v>
      </c>
      <c r="D56" s="67">
        <f t="shared" si="8"/>
        <v>4009.3996923854365</v>
      </c>
      <c r="E56" s="67">
        <f t="shared" si="9"/>
        <v>6263.0598205618926</v>
      </c>
      <c r="F56" s="67">
        <f t="shared" si="10"/>
        <v>8158.7520443239027</v>
      </c>
      <c r="G56" s="67">
        <f t="shared" si="11"/>
        <v>9866.6534447100603</v>
      </c>
      <c r="H56" s="68"/>
      <c r="I56" s="66">
        <v>3900</v>
      </c>
      <c r="J56" s="67">
        <f t="shared" si="12"/>
        <v>1968.0750893895342</v>
      </c>
      <c r="K56" s="67">
        <f t="shared" si="13"/>
        <v>3070.6636515554696</v>
      </c>
      <c r="L56" s="67">
        <f t="shared" si="14"/>
        <v>3995.3313175918038</v>
      </c>
      <c r="M56" s="67">
        <f t="shared" si="15"/>
        <v>4825.9444219318575</v>
      </c>
      <c r="N56" s="56"/>
      <c r="P56" s="69">
        <f>ROUND((0.86*J56/('Nová data tabulka Exact'!$U$1-'Nová data tabulka Exact'!$U$2))/(0.86*D56/10),2)</f>
        <v>0.25</v>
      </c>
      <c r="Q56" s="69">
        <f>ROUND((0.86*K56/('Nová data tabulka Exact'!$U$1-'Nová data tabulka Exact'!$U$2))/(0.86*E56/10),2)</f>
        <v>0.25</v>
      </c>
      <c r="R56" s="69">
        <f>ROUND((0.86*L56/('Nová data tabulka Exact'!$U$1-'Nová data tabulka Exact'!$U$2))/(0.86*F56/10),2)</f>
        <v>0.24</v>
      </c>
      <c r="S56" s="69">
        <f>ROUND((0.86*M56/('Nová data tabulka Exact'!$U$1-'Nová data tabulka Exact'!$U$2))/(0.86*G56/10),2)</f>
        <v>0.24</v>
      </c>
    </row>
    <row r="57" spans="2:19" ht="15.5" x14ac:dyDescent="0.35">
      <c r="B57" s="54"/>
      <c r="C57" s="66">
        <v>4000</v>
      </c>
      <c r="D57" s="67">
        <f t="shared" si="8"/>
        <v>4112.2048127030121</v>
      </c>
      <c r="E57" s="67">
        <f t="shared" si="9"/>
        <v>6423.6510980121975</v>
      </c>
      <c r="F57" s="67">
        <f t="shared" si="10"/>
        <v>8367.950814691183</v>
      </c>
      <c r="G57" s="67">
        <f t="shared" si="11"/>
        <v>10119.644558676984</v>
      </c>
      <c r="H57" s="68"/>
      <c r="I57" s="66">
        <v>4000</v>
      </c>
      <c r="J57" s="67">
        <f t="shared" si="12"/>
        <v>2018.5385532200351</v>
      </c>
      <c r="K57" s="67">
        <f t="shared" si="13"/>
        <v>3149.3986169799691</v>
      </c>
      <c r="L57" s="67">
        <f t="shared" si="14"/>
        <v>4097.7757103505683</v>
      </c>
      <c r="M57" s="67">
        <f t="shared" si="15"/>
        <v>4949.6865865967775</v>
      </c>
      <c r="N57" s="56"/>
      <c r="P57" s="69">
        <f>ROUND((0.86*J57/('Nová data tabulka Exact'!$U$1-'Nová data tabulka Exact'!$U$2))/(0.86*D57/10),2)</f>
        <v>0.25</v>
      </c>
      <c r="Q57" s="69">
        <f>ROUND((0.86*K57/('Nová data tabulka Exact'!$U$1-'Nová data tabulka Exact'!$U$2))/(0.86*E57/10),2)</f>
        <v>0.25</v>
      </c>
      <c r="R57" s="69">
        <f>ROUND((0.86*L57/('Nová data tabulka Exact'!$U$1-'Nová data tabulka Exact'!$U$2))/(0.86*F57/10),2)</f>
        <v>0.24</v>
      </c>
      <c r="S57" s="69">
        <f>ROUND((0.86*M57/('Nová data tabulka Exact'!$U$1-'Nová data tabulka Exact'!$U$2))/(0.86*G57/10),2)</f>
        <v>0.24</v>
      </c>
    </row>
    <row r="58" spans="2:19" ht="15.5" x14ac:dyDescent="0.35">
      <c r="B58" s="54"/>
      <c r="C58" s="66">
        <v>4100</v>
      </c>
      <c r="D58" s="67">
        <f t="shared" si="8"/>
        <v>4215.0099330205867</v>
      </c>
      <c r="E58" s="67">
        <f t="shared" si="9"/>
        <v>6584.2423754625024</v>
      </c>
      <c r="F58" s="67">
        <f t="shared" si="10"/>
        <v>8577.1495850584615</v>
      </c>
      <c r="G58" s="67">
        <f t="shared" si="11"/>
        <v>10372.63567264391</v>
      </c>
      <c r="H58" s="68"/>
      <c r="I58" s="66">
        <v>4100</v>
      </c>
      <c r="J58" s="67">
        <f t="shared" si="12"/>
        <v>2069.0020170505359</v>
      </c>
      <c r="K58" s="67">
        <f t="shared" si="13"/>
        <v>3228.1335824044681</v>
      </c>
      <c r="L58" s="67">
        <f t="shared" si="14"/>
        <v>4200.2201031093327</v>
      </c>
      <c r="M58" s="67">
        <f t="shared" si="15"/>
        <v>5073.4287512616966</v>
      </c>
      <c r="N58" s="56"/>
      <c r="P58" s="69">
        <f>ROUND((0.86*J58/('Nová data tabulka Exact'!$U$1-'Nová data tabulka Exact'!$U$2))/(0.86*D58/10),2)</f>
        <v>0.25</v>
      </c>
      <c r="Q58" s="69">
        <f>ROUND((0.86*K58/('Nová data tabulka Exact'!$U$1-'Nová data tabulka Exact'!$U$2))/(0.86*E58/10),2)</f>
        <v>0.25</v>
      </c>
      <c r="R58" s="69">
        <f>ROUND((0.86*L58/('Nová data tabulka Exact'!$U$1-'Nová data tabulka Exact'!$U$2))/(0.86*F58/10),2)</f>
        <v>0.24</v>
      </c>
      <c r="S58" s="69">
        <f>ROUND((0.86*M58/('Nová data tabulka Exact'!$U$1-'Nová data tabulka Exact'!$U$2))/(0.86*G58/10),2)</f>
        <v>0.24</v>
      </c>
    </row>
    <row r="59" spans="2:19" ht="15.5" x14ac:dyDescent="0.35">
      <c r="B59" s="54"/>
      <c r="C59" s="66">
        <v>4200</v>
      </c>
      <c r="D59" s="67">
        <f t="shared" si="8"/>
        <v>4317.8150533381622</v>
      </c>
      <c r="E59" s="67">
        <f t="shared" si="9"/>
        <v>6744.8336529128082</v>
      </c>
      <c r="F59" s="67">
        <f t="shared" si="10"/>
        <v>8786.3483554257418</v>
      </c>
      <c r="G59" s="67">
        <f t="shared" si="11"/>
        <v>10625.626786610834</v>
      </c>
      <c r="H59" s="68"/>
      <c r="I59" s="66">
        <v>4200</v>
      </c>
      <c r="J59" s="67">
        <f t="shared" si="12"/>
        <v>2119.4654808810369</v>
      </c>
      <c r="K59" s="67">
        <f t="shared" si="13"/>
        <v>3306.8685478289676</v>
      </c>
      <c r="L59" s="67">
        <f t="shared" si="14"/>
        <v>4302.6644958680963</v>
      </c>
      <c r="M59" s="67">
        <f t="shared" si="15"/>
        <v>5197.1709159266156</v>
      </c>
      <c r="N59" s="56"/>
      <c r="P59" s="69">
        <f>ROUND((0.86*J59/('Nová data tabulka Exact'!$U$1-'Nová data tabulka Exact'!$U$2))/(0.86*D59/10),2)</f>
        <v>0.25</v>
      </c>
      <c r="Q59" s="69">
        <f>ROUND((0.86*K59/('Nová data tabulka Exact'!$U$1-'Nová data tabulka Exact'!$U$2))/(0.86*E59/10),2)</f>
        <v>0.25</v>
      </c>
      <c r="R59" s="69">
        <f>ROUND((0.86*L59/('Nová data tabulka Exact'!$U$1-'Nová data tabulka Exact'!$U$2))/(0.86*F59/10),2)</f>
        <v>0.24</v>
      </c>
      <c r="S59" s="69">
        <f>ROUND((0.86*M59/('Nová data tabulka Exact'!$U$1-'Nová data tabulka Exact'!$U$2))/(0.86*G59/10),2)</f>
        <v>0.24</v>
      </c>
    </row>
    <row r="60" spans="2:19" ht="15.5" x14ac:dyDescent="0.35">
      <c r="B60" s="54"/>
      <c r="C60" s="66">
        <v>4300</v>
      </c>
      <c r="D60" s="67">
        <f t="shared" ref="D60:D77" si="16">$D$27/1000*C60</f>
        <v>4420.6201736557377</v>
      </c>
      <c r="E60" s="67">
        <f t="shared" ref="E60:E77" si="17">$E$27/1000*C60</f>
        <v>6905.4249303631132</v>
      </c>
      <c r="F60" s="67">
        <f t="shared" ref="F60:F77" si="18">$F$27/1000*C60</f>
        <v>8995.5471257930203</v>
      </c>
      <c r="G60" s="67">
        <f t="shared" ref="G60:G77" si="19">$G$27/1000*C60</f>
        <v>10878.617900577759</v>
      </c>
      <c r="H60" s="68"/>
      <c r="I60" s="66">
        <v>4300</v>
      </c>
      <c r="J60" s="67">
        <f t="shared" ref="J60:J77" si="20">$J$27/1000*C60</f>
        <v>2169.9289447115375</v>
      </c>
      <c r="K60" s="67">
        <f t="shared" ref="K60:K77" si="21">$K$27/1000*C60</f>
        <v>3385.6035132534666</v>
      </c>
      <c r="L60" s="67">
        <f t="shared" ref="L60:L77" si="22">$L$27/1000*C60</f>
        <v>4405.1088886268608</v>
      </c>
      <c r="M60" s="67">
        <f t="shared" ref="M60:M77" si="23">$M$27/1000*C60</f>
        <v>5320.9130805915356</v>
      </c>
      <c r="N60" s="56"/>
      <c r="P60" s="69">
        <f>ROUND((0.86*J60/('Nová data tabulka Exact'!$U$1-'Nová data tabulka Exact'!$U$2))/(0.86*D60/10),2)</f>
        <v>0.25</v>
      </c>
      <c r="Q60" s="69">
        <f>ROUND((0.86*K60/('Nová data tabulka Exact'!$U$1-'Nová data tabulka Exact'!$U$2))/(0.86*E60/10),2)</f>
        <v>0.25</v>
      </c>
      <c r="R60" s="69">
        <f>ROUND((0.86*L60/('Nová data tabulka Exact'!$U$1-'Nová data tabulka Exact'!$U$2))/(0.86*F60/10),2)</f>
        <v>0.24</v>
      </c>
      <c r="S60" s="69">
        <f>ROUND((0.86*M60/('Nová data tabulka Exact'!$U$1-'Nová data tabulka Exact'!$U$2))/(0.86*G60/10),2)</f>
        <v>0.24</v>
      </c>
    </row>
    <row r="61" spans="2:19" ht="15.5" x14ac:dyDescent="0.35">
      <c r="B61" s="54"/>
      <c r="C61" s="66">
        <v>4400</v>
      </c>
      <c r="D61" s="67">
        <f t="shared" si="16"/>
        <v>4523.4252939733133</v>
      </c>
      <c r="E61" s="67">
        <f t="shared" si="17"/>
        <v>7066.0162078134181</v>
      </c>
      <c r="F61" s="67">
        <f t="shared" si="18"/>
        <v>9204.7458961603006</v>
      </c>
      <c r="G61" s="67">
        <f t="shared" si="19"/>
        <v>11131.609014544683</v>
      </c>
      <c r="H61" s="68"/>
      <c r="I61" s="66">
        <v>4400</v>
      </c>
      <c r="J61" s="67">
        <f t="shared" si="20"/>
        <v>2220.3924085420385</v>
      </c>
      <c r="K61" s="67">
        <f t="shared" si="21"/>
        <v>3464.3384786779661</v>
      </c>
      <c r="L61" s="67">
        <f t="shared" si="22"/>
        <v>4507.5532813856253</v>
      </c>
      <c r="M61" s="67">
        <f t="shared" si="23"/>
        <v>5444.6552452564547</v>
      </c>
      <c r="N61" s="56"/>
      <c r="P61" s="69">
        <f>ROUND((0.86*J61/('Nová data tabulka Exact'!$U$1-'Nová data tabulka Exact'!$U$2))/(0.86*D61/10),2)</f>
        <v>0.25</v>
      </c>
      <c r="Q61" s="69">
        <f>ROUND((0.86*K61/('Nová data tabulka Exact'!$U$1-'Nová data tabulka Exact'!$U$2))/(0.86*E61/10),2)</f>
        <v>0.25</v>
      </c>
      <c r="R61" s="69">
        <f>ROUND((0.86*L61/('Nová data tabulka Exact'!$U$1-'Nová data tabulka Exact'!$U$2))/(0.86*F61/10),2)</f>
        <v>0.24</v>
      </c>
      <c r="S61" s="69">
        <f>ROUND((0.86*M61/('Nová data tabulka Exact'!$U$1-'Nová data tabulka Exact'!$U$2))/(0.86*G61/10),2)</f>
        <v>0.24</v>
      </c>
    </row>
    <row r="62" spans="2:19" ht="15.5" x14ac:dyDescent="0.35">
      <c r="B62" s="54"/>
      <c r="C62" s="66">
        <v>4500</v>
      </c>
      <c r="D62" s="67">
        <f t="shared" si="16"/>
        <v>4626.2304142908879</v>
      </c>
      <c r="E62" s="67">
        <f t="shared" si="17"/>
        <v>7226.607485263723</v>
      </c>
      <c r="F62" s="67">
        <f t="shared" si="18"/>
        <v>9413.9446665275809</v>
      </c>
      <c r="G62" s="67">
        <f t="shared" si="19"/>
        <v>11384.600128511607</v>
      </c>
      <c r="H62" s="68"/>
      <c r="I62" s="66">
        <v>4500</v>
      </c>
      <c r="J62" s="67">
        <f t="shared" si="20"/>
        <v>2270.8558723725396</v>
      </c>
      <c r="K62" s="67">
        <f t="shared" si="21"/>
        <v>3543.0734441024651</v>
      </c>
      <c r="L62" s="67">
        <f t="shared" si="22"/>
        <v>4609.9976741443888</v>
      </c>
      <c r="M62" s="67">
        <f t="shared" si="23"/>
        <v>5568.3974099213747</v>
      </c>
      <c r="N62" s="56"/>
      <c r="P62" s="69">
        <f>ROUND((0.86*J62/('Nová data tabulka Exact'!$U$1-'Nová data tabulka Exact'!$U$2))/(0.86*D62/10),2)</f>
        <v>0.25</v>
      </c>
      <c r="Q62" s="69">
        <f>ROUND((0.86*K62/('Nová data tabulka Exact'!$U$1-'Nová data tabulka Exact'!$U$2))/(0.86*E62/10),2)</f>
        <v>0.25</v>
      </c>
      <c r="R62" s="69">
        <f>ROUND((0.86*L62/('Nová data tabulka Exact'!$U$1-'Nová data tabulka Exact'!$U$2))/(0.86*F62/10),2)</f>
        <v>0.24</v>
      </c>
      <c r="S62" s="69">
        <f>ROUND((0.86*M62/('Nová data tabulka Exact'!$U$1-'Nová data tabulka Exact'!$U$2))/(0.86*G62/10),2)</f>
        <v>0.24</v>
      </c>
    </row>
    <row r="63" spans="2:19" ht="15.5" x14ac:dyDescent="0.35">
      <c r="B63" s="54"/>
      <c r="C63" s="66">
        <v>4600</v>
      </c>
      <c r="D63" s="67">
        <f t="shared" si="16"/>
        <v>4729.0355346084634</v>
      </c>
      <c r="E63" s="67">
        <f t="shared" si="17"/>
        <v>7387.1987627140279</v>
      </c>
      <c r="F63" s="67">
        <f t="shared" si="18"/>
        <v>9623.1434368948594</v>
      </c>
      <c r="G63" s="67">
        <f t="shared" si="19"/>
        <v>11637.591242478533</v>
      </c>
      <c r="H63" s="68"/>
      <c r="I63" s="66">
        <v>4600</v>
      </c>
      <c r="J63" s="67">
        <f t="shared" si="20"/>
        <v>2321.3193362030402</v>
      </c>
      <c r="K63" s="67">
        <f t="shared" si="21"/>
        <v>3621.8084095269642</v>
      </c>
      <c r="L63" s="67">
        <f t="shared" si="22"/>
        <v>4712.4420669031533</v>
      </c>
      <c r="M63" s="67">
        <f t="shared" si="23"/>
        <v>5692.1395745862937</v>
      </c>
      <c r="N63" s="56"/>
      <c r="P63" s="69">
        <f>ROUND((0.86*J63/('Nová data tabulka Exact'!$U$1-'Nová data tabulka Exact'!$U$2))/(0.86*D63/10),2)</f>
        <v>0.25</v>
      </c>
      <c r="Q63" s="69">
        <f>ROUND((0.86*K63/('Nová data tabulka Exact'!$U$1-'Nová data tabulka Exact'!$U$2))/(0.86*E63/10),2)</f>
        <v>0.25</v>
      </c>
      <c r="R63" s="69">
        <f>ROUND((0.86*L63/('Nová data tabulka Exact'!$U$1-'Nová data tabulka Exact'!$U$2))/(0.86*F63/10),2)</f>
        <v>0.24</v>
      </c>
      <c r="S63" s="69">
        <f>ROUND((0.86*M63/('Nová data tabulka Exact'!$U$1-'Nová data tabulka Exact'!$U$2))/(0.86*G63/10),2)</f>
        <v>0.24</v>
      </c>
    </row>
    <row r="64" spans="2:19" ht="15.5" x14ac:dyDescent="0.35">
      <c r="B64" s="54"/>
      <c r="C64" s="66">
        <v>4700</v>
      </c>
      <c r="D64" s="67">
        <f t="shared" si="16"/>
        <v>4831.840654926039</v>
      </c>
      <c r="E64" s="67">
        <f t="shared" si="17"/>
        <v>7547.7900401643328</v>
      </c>
      <c r="F64" s="67">
        <f t="shared" si="18"/>
        <v>9832.3422072621397</v>
      </c>
      <c r="G64" s="67">
        <f t="shared" si="19"/>
        <v>11890.582356445457</v>
      </c>
      <c r="H64" s="68"/>
      <c r="I64" s="66">
        <v>4700</v>
      </c>
      <c r="J64" s="67">
        <f t="shared" si="20"/>
        <v>2371.7828000335412</v>
      </c>
      <c r="K64" s="67">
        <f t="shared" si="21"/>
        <v>3700.5433749514636</v>
      </c>
      <c r="L64" s="67">
        <f t="shared" si="22"/>
        <v>4814.8864596619178</v>
      </c>
      <c r="M64" s="67">
        <f t="shared" si="23"/>
        <v>5815.8817392512128</v>
      </c>
      <c r="N64" s="56"/>
      <c r="P64" s="69">
        <f>ROUND((0.86*J64/('Nová data tabulka Exact'!$U$1-'Nová data tabulka Exact'!$U$2))/(0.86*D64/10),2)</f>
        <v>0.25</v>
      </c>
      <c r="Q64" s="69">
        <f>ROUND((0.86*K64/('Nová data tabulka Exact'!$U$1-'Nová data tabulka Exact'!$U$2))/(0.86*E64/10),2)</f>
        <v>0.25</v>
      </c>
      <c r="R64" s="69">
        <f>ROUND((0.86*L64/('Nová data tabulka Exact'!$U$1-'Nová data tabulka Exact'!$U$2))/(0.86*F64/10),2)</f>
        <v>0.24</v>
      </c>
      <c r="S64" s="69">
        <f>ROUND((0.86*M64/('Nová data tabulka Exact'!$U$1-'Nová data tabulka Exact'!$U$2))/(0.86*G64/10),2)</f>
        <v>0.24</v>
      </c>
    </row>
    <row r="65" spans="2:19" ht="15.5" x14ac:dyDescent="0.35">
      <c r="B65" s="54"/>
      <c r="C65" s="66">
        <v>4800</v>
      </c>
      <c r="D65" s="67">
        <f t="shared" si="16"/>
        <v>4934.6457752436145</v>
      </c>
      <c r="E65" s="67">
        <f t="shared" si="17"/>
        <v>7708.3813176146377</v>
      </c>
      <c r="F65" s="67">
        <f t="shared" si="18"/>
        <v>10041.540977629418</v>
      </c>
      <c r="G65" s="67">
        <f t="shared" si="19"/>
        <v>12143.573470412382</v>
      </c>
      <c r="H65" s="68"/>
      <c r="I65" s="66">
        <v>4800</v>
      </c>
      <c r="J65" s="67">
        <f t="shared" si="20"/>
        <v>2422.2462638640422</v>
      </c>
      <c r="K65" s="67">
        <f t="shared" si="21"/>
        <v>3779.2783403759627</v>
      </c>
      <c r="L65" s="67">
        <f t="shared" si="22"/>
        <v>4917.3308524206814</v>
      </c>
      <c r="M65" s="67">
        <f t="shared" si="23"/>
        <v>5939.6239039161328</v>
      </c>
      <c r="N65" s="56"/>
      <c r="P65" s="69">
        <f>ROUND((0.86*J65/('Nová data tabulka Exact'!$U$1-'Nová data tabulka Exact'!$U$2))/(0.86*D65/10),2)</f>
        <v>0.25</v>
      </c>
      <c r="Q65" s="69">
        <f>ROUND((0.86*K65/('Nová data tabulka Exact'!$U$1-'Nová data tabulka Exact'!$U$2))/(0.86*E65/10),2)</f>
        <v>0.25</v>
      </c>
      <c r="R65" s="69">
        <f>ROUND((0.86*L65/('Nová data tabulka Exact'!$U$1-'Nová data tabulka Exact'!$U$2))/(0.86*F65/10),2)</f>
        <v>0.24</v>
      </c>
      <c r="S65" s="69">
        <f>ROUND((0.86*M65/('Nová data tabulka Exact'!$U$1-'Nová data tabulka Exact'!$U$2))/(0.86*G65/10),2)</f>
        <v>0.24</v>
      </c>
    </row>
    <row r="66" spans="2:19" ht="15.5" x14ac:dyDescent="0.35">
      <c r="B66" s="54"/>
      <c r="C66" s="66">
        <v>4900</v>
      </c>
      <c r="D66" s="67">
        <f t="shared" si="16"/>
        <v>5037.4508955611891</v>
      </c>
      <c r="E66" s="67">
        <f t="shared" si="17"/>
        <v>7868.9725950649427</v>
      </c>
      <c r="F66" s="67">
        <f t="shared" si="18"/>
        <v>10250.739747996698</v>
      </c>
      <c r="G66" s="67">
        <f t="shared" si="19"/>
        <v>12396.564584379306</v>
      </c>
      <c r="H66" s="68"/>
      <c r="I66" s="66">
        <v>4900</v>
      </c>
      <c r="J66" s="67">
        <f t="shared" si="20"/>
        <v>2472.7097276945428</v>
      </c>
      <c r="K66" s="67">
        <f t="shared" si="21"/>
        <v>3858.0133058004621</v>
      </c>
      <c r="L66" s="67">
        <f t="shared" si="22"/>
        <v>5019.7752451794458</v>
      </c>
      <c r="M66" s="67">
        <f t="shared" si="23"/>
        <v>6063.3660685810519</v>
      </c>
      <c r="N66" s="56"/>
      <c r="P66" s="69">
        <f>ROUND((0.86*J66/('Nová data tabulka Exact'!$U$1-'Nová data tabulka Exact'!$U$2))/(0.86*D66/10),2)</f>
        <v>0.25</v>
      </c>
      <c r="Q66" s="69">
        <f>ROUND((0.86*K66/('Nová data tabulka Exact'!$U$1-'Nová data tabulka Exact'!$U$2))/(0.86*E66/10),2)</f>
        <v>0.25</v>
      </c>
      <c r="R66" s="69">
        <f>ROUND((0.86*L66/('Nová data tabulka Exact'!$U$1-'Nová data tabulka Exact'!$U$2))/(0.86*F66/10),2)</f>
        <v>0.24</v>
      </c>
      <c r="S66" s="69">
        <f>ROUND((0.86*M66/('Nová data tabulka Exact'!$U$1-'Nová data tabulka Exact'!$U$2))/(0.86*G66/10),2)</f>
        <v>0.24</v>
      </c>
    </row>
    <row r="67" spans="2:19" ht="15.5" x14ac:dyDescent="0.35">
      <c r="B67" s="54"/>
      <c r="C67" s="66">
        <v>5000</v>
      </c>
      <c r="D67" s="67">
        <f t="shared" si="16"/>
        <v>5140.2560158787646</v>
      </c>
      <c r="E67" s="67">
        <f t="shared" si="17"/>
        <v>8029.5638725152476</v>
      </c>
      <c r="F67" s="67">
        <f t="shared" si="18"/>
        <v>10459.938518363979</v>
      </c>
      <c r="G67" s="67">
        <f t="shared" si="19"/>
        <v>12649.55569834623</v>
      </c>
      <c r="H67" s="68"/>
      <c r="I67" s="66">
        <v>5000</v>
      </c>
      <c r="J67" s="67">
        <f t="shared" si="20"/>
        <v>2523.1731915250439</v>
      </c>
      <c r="K67" s="67">
        <f t="shared" si="21"/>
        <v>3936.7482712249612</v>
      </c>
      <c r="L67" s="67">
        <f t="shared" si="22"/>
        <v>5122.2196379382103</v>
      </c>
      <c r="M67" s="67">
        <f t="shared" si="23"/>
        <v>6187.1082332459719</v>
      </c>
      <c r="N67" s="56"/>
      <c r="P67" s="69">
        <f>ROUND((0.86*J67/('Nová data tabulka Exact'!$U$1-'Nová data tabulka Exact'!$U$2))/(0.86*D67/10),2)</f>
        <v>0.25</v>
      </c>
      <c r="Q67" s="69">
        <f>ROUND((0.86*K67/('Nová data tabulka Exact'!$U$1-'Nová data tabulka Exact'!$U$2))/(0.86*E67/10),2)</f>
        <v>0.25</v>
      </c>
      <c r="R67" s="69">
        <f>ROUND((0.86*L67/('Nová data tabulka Exact'!$U$1-'Nová data tabulka Exact'!$U$2))/(0.86*F67/10),2)</f>
        <v>0.24</v>
      </c>
      <c r="S67" s="69">
        <f>ROUND((0.86*M67/('Nová data tabulka Exact'!$U$1-'Nová data tabulka Exact'!$U$2))/(0.86*G67/10),2)</f>
        <v>0.24</v>
      </c>
    </row>
    <row r="68" spans="2:19" ht="15.5" x14ac:dyDescent="0.35">
      <c r="B68" s="54"/>
      <c r="C68" s="66">
        <v>5100</v>
      </c>
      <c r="D68" s="67">
        <f t="shared" si="16"/>
        <v>5243.0611361963402</v>
      </c>
      <c r="E68" s="67">
        <f t="shared" si="17"/>
        <v>8190.1551499655525</v>
      </c>
      <c r="F68" s="67">
        <f t="shared" si="18"/>
        <v>10669.137288731257</v>
      </c>
      <c r="G68" s="67">
        <f t="shared" si="19"/>
        <v>12902.546812313156</v>
      </c>
      <c r="H68" s="68"/>
      <c r="I68" s="66">
        <v>5100</v>
      </c>
      <c r="J68" s="67">
        <f t="shared" si="20"/>
        <v>2573.6366553555449</v>
      </c>
      <c r="K68" s="67">
        <f t="shared" si="21"/>
        <v>4015.4832366494607</v>
      </c>
      <c r="L68" s="67">
        <f t="shared" si="22"/>
        <v>5224.6640306969739</v>
      </c>
      <c r="M68" s="67">
        <f t="shared" si="23"/>
        <v>6310.8503979108909</v>
      </c>
      <c r="N68" s="56"/>
      <c r="P68" s="69">
        <f>ROUND((0.86*J68/('Nová data tabulka Exact'!$U$1-'Nová data tabulka Exact'!$U$2))/(0.86*D68/10),2)</f>
        <v>0.25</v>
      </c>
      <c r="Q68" s="69">
        <f>ROUND((0.86*K68/('Nová data tabulka Exact'!$U$1-'Nová data tabulka Exact'!$U$2))/(0.86*E68/10),2)</f>
        <v>0.25</v>
      </c>
      <c r="R68" s="69">
        <f>ROUND((0.86*L68/('Nová data tabulka Exact'!$U$1-'Nová data tabulka Exact'!$U$2))/(0.86*F68/10),2)</f>
        <v>0.24</v>
      </c>
      <c r="S68" s="69">
        <f>ROUND((0.86*M68/('Nová data tabulka Exact'!$U$1-'Nová data tabulka Exact'!$U$2))/(0.86*G68/10),2)</f>
        <v>0.24</v>
      </c>
    </row>
    <row r="69" spans="2:19" ht="15.5" x14ac:dyDescent="0.35">
      <c r="B69" s="54"/>
      <c r="C69" s="66">
        <v>5200</v>
      </c>
      <c r="D69" s="67">
        <f t="shared" si="16"/>
        <v>5345.8662565139157</v>
      </c>
      <c r="E69" s="67">
        <f t="shared" si="17"/>
        <v>8350.7464274158574</v>
      </c>
      <c r="F69" s="67">
        <f t="shared" si="18"/>
        <v>10878.336059098538</v>
      </c>
      <c r="G69" s="67">
        <f t="shared" si="19"/>
        <v>13155.53792628008</v>
      </c>
      <c r="H69" s="68"/>
      <c r="I69" s="66">
        <v>5200</v>
      </c>
      <c r="J69" s="67">
        <f t="shared" si="20"/>
        <v>2624.1001191860455</v>
      </c>
      <c r="K69" s="67">
        <f t="shared" si="21"/>
        <v>4094.2182020739597</v>
      </c>
      <c r="L69" s="67">
        <f t="shared" si="22"/>
        <v>5327.1084234557384</v>
      </c>
      <c r="M69" s="67">
        <f t="shared" si="23"/>
        <v>6434.59256257581</v>
      </c>
      <c r="N69" s="56"/>
      <c r="P69" s="69">
        <f>ROUND((0.86*J69/('Nová data tabulka Exact'!$U$1-'Nová data tabulka Exact'!$U$2))/(0.86*D69/10),2)</f>
        <v>0.25</v>
      </c>
      <c r="Q69" s="69">
        <f>ROUND((0.86*K69/('Nová data tabulka Exact'!$U$1-'Nová data tabulka Exact'!$U$2))/(0.86*E69/10),2)</f>
        <v>0.25</v>
      </c>
      <c r="R69" s="69">
        <f>ROUND((0.86*L69/('Nová data tabulka Exact'!$U$1-'Nová data tabulka Exact'!$U$2))/(0.86*F69/10),2)</f>
        <v>0.24</v>
      </c>
      <c r="S69" s="69">
        <f>ROUND((0.86*M69/('Nová data tabulka Exact'!$U$1-'Nová data tabulka Exact'!$U$2))/(0.86*G69/10),2)</f>
        <v>0.24</v>
      </c>
    </row>
    <row r="70" spans="2:19" ht="15.5" x14ac:dyDescent="0.35">
      <c r="B70" s="54"/>
      <c r="C70" s="66">
        <v>5300</v>
      </c>
      <c r="D70" s="67">
        <f t="shared" si="16"/>
        <v>5448.6713768314903</v>
      </c>
      <c r="E70" s="67">
        <f t="shared" si="17"/>
        <v>8511.3377048661623</v>
      </c>
      <c r="F70" s="67">
        <f t="shared" si="18"/>
        <v>11087.534829465816</v>
      </c>
      <c r="G70" s="67">
        <f t="shared" si="19"/>
        <v>13408.529040247005</v>
      </c>
      <c r="H70" s="68"/>
      <c r="I70" s="66">
        <v>5300</v>
      </c>
      <c r="J70" s="67">
        <f t="shared" si="20"/>
        <v>2674.5635830165465</v>
      </c>
      <c r="K70" s="67">
        <f t="shared" si="21"/>
        <v>4172.9531674984592</v>
      </c>
      <c r="L70" s="67">
        <f t="shared" si="22"/>
        <v>5429.5528162145029</v>
      </c>
      <c r="M70" s="67">
        <f t="shared" si="23"/>
        <v>6558.33472724073</v>
      </c>
      <c r="N70" s="56"/>
      <c r="P70" s="69">
        <f>ROUND((0.86*J70/('Nová data tabulka Exact'!$U$1-'Nová data tabulka Exact'!$U$2))/(0.86*D70/10),2)</f>
        <v>0.25</v>
      </c>
      <c r="Q70" s="69">
        <f>ROUND((0.86*K70/('Nová data tabulka Exact'!$U$1-'Nová data tabulka Exact'!$U$2))/(0.86*E70/10),2)</f>
        <v>0.25</v>
      </c>
      <c r="R70" s="69">
        <f>ROUND((0.86*L70/('Nová data tabulka Exact'!$U$1-'Nová data tabulka Exact'!$U$2))/(0.86*F70/10),2)</f>
        <v>0.24</v>
      </c>
      <c r="S70" s="69">
        <f>ROUND((0.86*M70/('Nová data tabulka Exact'!$U$1-'Nová data tabulka Exact'!$U$2))/(0.86*G70/10),2)</f>
        <v>0.24</v>
      </c>
    </row>
    <row r="71" spans="2:19" ht="15.5" x14ac:dyDescent="0.35">
      <c r="B71" s="54"/>
      <c r="C71" s="66">
        <v>5400</v>
      </c>
      <c r="D71" s="67">
        <f t="shared" si="16"/>
        <v>5551.4764971490658</v>
      </c>
      <c r="E71" s="67">
        <f t="shared" si="17"/>
        <v>8671.9289823164672</v>
      </c>
      <c r="F71" s="67">
        <f t="shared" si="18"/>
        <v>11296.733599833096</v>
      </c>
      <c r="G71" s="67">
        <f t="shared" si="19"/>
        <v>13661.520154213929</v>
      </c>
      <c r="H71" s="68"/>
      <c r="I71" s="66">
        <v>5400</v>
      </c>
      <c r="J71" s="67">
        <f t="shared" si="20"/>
        <v>2725.0270468470471</v>
      </c>
      <c r="K71" s="67">
        <f t="shared" si="21"/>
        <v>4251.6881329229582</v>
      </c>
      <c r="L71" s="67">
        <f t="shared" si="22"/>
        <v>5531.9972089732673</v>
      </c>
      <c r="M71" s="67">
        <f t="shared" si="23"/>
        <v>6682.0768919056491</v>
      </c>
      <c r="N71" s="56"/>
      <c r="P71" s="69">
        <f>ROUND((0.86*J71/('Nová data tabulka Exact'!$U$1-'Nová data tabulka Exact'!$U$2))/(0.86*D71/10),2)</f>
        <v>0.25</v>
      </c>
      <c r="Q71" s="69">
        <f>ROUND((0.86*K71/('Nová data tabulka Exact'!$U$1-'Nová data tabulka Exact'!$U$2))/(0.86*E71/10),2)</f>
        <v>0.25</v>
      </c>
      <c r="R71" s="69">
        <f>ROUND((0.86*L71/('Nová data tabulka Exact'!$U$1-'Nová data tabulka Exact'!$U$2))/(0.86*F71/10),2)</f>
        <v>0.24</v>
      </c>
      <c r="S71" s="69">
        <f>ROUND((0.86*M71/('Nová data tabulka Exact'!$U$1-'Nová data tabulka Exact'!$U$2))/(0.86*G71/10),2)</f>
        <v>0.24</v>
      </c>
    </row>
    <row r="72" spans="2:19" ht="15.5" x14ac:dyDescent="0.35">
      <c r="B72" s="54"/>
      <c r="C72" s="66">
        <v>5500</v>
      </c>
      <c r="D72" s="67">
        <f t="shared" si="16"/>
        <v>5654.2816174666414</v>
      </c>
      <c r="E72" s="67">
        <f t="shared" si="17"/>
        <v>8832.5202597667721</v>
      </c>
      <c r="F72" s="67">
        <f t="shared" si="18"/>
        <v>11505.932370200377</v>
      </c>
      <c r="G72" s="67">
        <f t="shared" si="19"/>
        <v>13914.511268180853</v>
      </c>
      <c r="H72" s="68"/>
      <c r="I72" s="66">
        <v>5500</v>
      </c>
      <c r="J72" s="67">
        <f t="shared" si="20"/>
        <v>2775.4905106775482</v>
      </c>
      <c r="K72" s="67">
        <f t="shared" si="21"/>
        <v>4330.4230983474572</v>
      </c>
      <c r="L72" s="67">
        <f t="shared" si="22"/>
        <v>5634.4416017320309</v>
      </c>
      <c r="M72" s="67">
        <f t="shared" si="23"/>
        <v>6805.819056570569</v>
      </c>
      <c r="N72" s="56"/>
      <c r="P72" s="69">
        <f>ROUND((0.86*J72/('Nová data tabulka Exact'!$U$1-'Nová data tabulka Exact'!$U$2))/(0.86*D72/10),2)</f>
        <v>0.25</v>
      </c>
      <c r="Q72" s="69">
        <f>ROUND((0.86*K72/('Nová data tabulka Exact'!$U$1-'Nová data tabulka Exact'!$U$2))/(0.86*E72/10),2)</f>
        <v>0.25</v>
      </c>
      <c r="R72" s="69">
        <f>ROUND((0.86*L72/('Nová data tabulka Exact'!$U$1-'Nová data tabulka Exact'!$U$2))/(0.86*F72/10),2)</f>
        <v>0.24</v>
      </c>
      <c r="S72" s="69">
        <f>ROUND((0.86*M72/('Nová data tabulka Exact'!$U$1-'Nová data tabulka Exact'!$U$2))/(0.86*G72/10),2)</f>
        <v>0.24</v>
      </c>
    </row>
    <row r="73" spans="2:19" ht="15.5" x14ac:dyDescent="0.35">
      <c r="B73" s="54"/>
      <c r="C73" s="66">
        <v>5600</v>
      </c>
      <c r="D73" s="67">
        <f t="shared" si="16"/>
        <v>5757.0867377842169</v>
      </c>
      <c r="E73" s="67">
        <f t="shared" si="17"/>
        <v>8993.1115372170771</v>
      </c>
      <c r="F73" s="67">
        <f t="shared" si="18"/>
        <v>11715.131140567655</v>
      </c>
      <c r="G73" s="67">
        <f t="shared" si="19"/>
        <v>14167.502382147779</v>
      </c>
      <c r="H73" s="68"/>
      <c r="I73" s="66">
        <v>5600</v>
      </c>
      <c r="J73" s="67">
        <f t="shared" si="20"/>
        <v>2825.9539745080492</v>
      </c>
      <c r="K73" s="67">
        <f t="shared" si="21"/>
        <v>4409.1580637719562</v>
      </c>
      <c r="L73" s="67">
        <f t="shared" si="22"/>
        <v>5736.8859944907954</v>
      </c>
      <c r="M73" s="67">
        <f t="shared" si="23"/>
        <v>6929.5612212354881</v>
      </c>
      <c r="N73" s="56"/>
      <c r="P73" s="69">
        <f>ROUND((0.86*J73/('Nová data tabulka Exact'!$U$1-'Nová data tabulka Exact'!$U$2))/(0.86*D73/10),2)</f>
        <v>0.25</v>
      </c>
      <c r="Q73" s="69">
        <f>ROUND((0.86*K73/('Nová data tabulka Exact'!$U$1-'Nová data tabulka Exact'!$U$2))/(0.86*E73/10),2)</f>
        <v>0.25</v>
      </c>
      <c r="R73" s="69">
        <f>ROUND((0.86*L73/('Nová data tabulka Exact'!$U$1-'Nová data tabulka Exact'!$U$2))/(0.86*F73/10),2)</f>
        <v>0.24</v>
      </c>
      <c r="S73" s="69">
        <f>ROUND((0.86*M73/('Nová data tabulka Exact'!$U$1-'Nová data tabulka Exact'!$U$2))/(0.86*G73/10),2)</f>
        <v>0.24</v>
      </c>
    </row>
    <row r="74" spans="2:19" ht="15.5" x14ac:dyDescent="0.35">
      <c r="B74" s="54"/>
      <c r="C74" s="66">
        <v>5700</v>
      </c>
      <c r="D74" s="67">
        <f t="shared" si="16"/>
        <v>5859.8918581017915</v>
      </c>
      <c r="E74" s="67">
        <f t="shared" si="17"/>
        <v>9153.702814667382</v>
      </c>
      <c r="F74" s="67">
        <f t="shared" si="18"/>
        <v>11924.329910934935</v>
      </c>
      <c r="G74" s="67">
        <f t="shared" si="19"/>
        <v>14420.493496114703</v>
      </c>
      <c r="H74" s="68"/>
      <c r="I74" s="66">
        <v>5700</v>
      </c>
      <c r="J74" s="67">
        <f t="shared" si="20"/>
        <v>2876.4174383385498</v>
      </c>
      <c r="K74" s="67">
        <f t="shared" si="21"/>
        <v>4487.8930291964562</v>
      </c>
      <c r="L74" s="67">
        <f t="shared" si="22"/>
        <v>5839.3303872495599</v>
      </c>
      <c r="M74" s="67">
        <f t="shared" si="23"/>
        <v>7053.3033859004072</v>
      </c>
      <c r="N74" s="56"/>
      <c r="P74" s="69">
        <f>ROUND((0.86*J74/('Nová data tabulka Exact'!$U$1-'Nová data tabulka Exact'!$U$2))/(0.86*D74/10),2)</f>
        <v>0.25</v>
      </c>
      <c r="Q74" s="69">
        <f>ROUND((0.86*K74/('Nová data tabulka Exact'!$U$1-'Nová data tabulka Exact'!$U$2))/(0.86*E74/10),2)</f>
        <v>0.25</v>
      </c>
      <c r="R74" s="69">
        <f>ROUND((0.86*L74/('Nová data tabulka Exact'!$U$1-'Nová data tabulka Exact'!$U$2))/(0.86*F74/10),2)</f>
        <v>0.24</v>
      </c>
      <c r="S74" s="69">
        <f>ROUND((0.86*M74/('Nová data tabulka Exact'!$U$1-'Nová data tabulka Exact'!$U$2))/(0.86*G74/10),2)</f>
        <v>0.24</v>
      </c>
    </row>
    <row r="75" spans="2:19" ht="15.5" x14ac:dyDescent="0.35">
      <c r="B75" s="54"/>
      <c r="C75" s="66">
        <v>5800</v>
      </c>
      <c r="D75" s="67">
        <f t="shared" si="16"/>
        <v>5962.696978419367</v>
      </c>
      <c r="E75" s="67">
        <f t="shared" si="17"/>
        <v>9314.2940921176869</v>
      </c>
      <c r="F75" s="67">
        <f t="shared" si="18"/>
        <v>12133.528681302214</v>
      </c>
      <c r="G75" s="67">
        <f t="shared" si="19"/>
        <v>14673.484610081628</v>
      </c>
      <c r="H75" s="68"/>
      <c r="I75" s="66">
        <v>5800</v>
      </c>
      <c r="J75" s="67">
        <f t="shared" si="20"/>
        <v>2926.8809021690508</v>
      </c>
      <c r="K75" s="67">
        <f t="shared" si="21"/>
        <v>4566.6279946209552</v>
      </c>
      <c r="L75" s="67">
        <f t="shared" si="22"/>
        <v>5941.7747800083234</v>
      </c>
      <c r="M75" s="67">
        <f t="shared" si="23"/>
        <v>7177.0455505653272</v>
      </c>
      <c r="N75" s="56"/>
      <c r="P75" s="69">
        <f>ROUND((0.86*J75/('Nová data tabulka Exact'!$U$1-'Nová data tabulka Exact'!$U$2))/(0.86*D75/10),2)</f>
        <v>0.25</v>
      </c>
      <c r="Q75" s="69">
        <f>ROUND((0.86*K75/('Nová data tabulka Exact'!$U$1-'Nová data tabulka Exact'!$U$2))/(0.86*E75/10),2)</f>
        <v>0.25</v>
      </c>
      <c r="R75" s="69">
        <f>ROUND((0.86*L75/('Nová data tabulka Exact'!$U$1-'Nová data tabulka Exact'!$U$2))/(0.86*F75/10),2)</f>
        <v>0.24</v>
      </c>
      <c r="S75" s="69">
        <f>ROUND((0.86*M75/('Nová data tabulka Exact'!$U$1-'Nová data tabulka Exact'!$U$2))/(0.86*G75/10),2)</f>
        <v>0.24</v>
      </c>
    </row>
    <row r="76" spans="2:19" ht="15.5" x14ac:dyDescent="0.35">
      <c r="B76" s="54"/>
      <c r="C76" s="66">
        <v>5900</v>
      </c>
      <c r="D76" s="67">
        <f t="shared" si="16"/>
        <v>6065.5020987369426</v>
      </c>
      <c r="E76" s="67">
        <f t="shared" si="17"/>
        <v>9474.8853695679918</v>
      </c>
      <c r="F76" s="67">
        <f t="shared" si="18"/>
        <v>12342.727451669494</v>
      </c>
      <c r="G76" s="67">
        <f t="shared" si="19"/>
        <v>14926.475724048552</v>
      </c>
      <c r="H76" s="68"/>
      <c r="I76" s="66">
        <v>5900</v>
      </c>
      <c r="J76" s="67">
        <f t="shared" si="20"/>
        <v>2977.3443659995519</v>
      </c>
      <c r="K76" s="67">
        <f t="shared" si="21"/>
        <v>4645.3629600454542</v>
      </c>
      <c r="L76" s="67">
        <f t="shared" si="22"/>
        <v>6044.2191727670879</v>
      </c>
      <c r="M76" s="67">
        <f t="shared" si="23"/>
        <v>7300.7877152302462</v>
      </c>
      <c r="N76" s="56"/>
      <c r="P76" s="69">
        <f>ROUND((0.86*J76/('Nová data tabulka Exact'!$U$1-'Nová data tabulka Exact'!$U$2))/(0.86*D76/10),2)</f>
        <v>0.25</v>
      </c>
      <c r="Q76" s="69">
        <f>ROUND((0.86*K76/('Nová data tabulka Exact'!$U$1-'Nová data tabulka Exact'!$U$2))/(0.86*E76/10),2)</f>
        <v>0.25</v>
      </c>
      <c r="R76" s="69">
        <f>ROUND((0.86*L76/('Nová data tabulka Exact'!$U$1-'Nová data tabulka Exact'!$U$2))/(0.86*F76/10),2)</f>
        <v>0.24</v>
      </c>
      <c r="S76" s="69">
        <f>ROUND((0.86*M76/('Nová data tabulka Exact'!$U$1-'Nová data tabulka Exact'!$U$2))/(0.86*G76/10),2)</f>
        <v>0.24</v>
      </c>
    </row>
    <row r="77" spans="2:19" ht="15.5" x14ac:dyDescent="0.35">
      <c r="B77" s="54"/>
      <c r="C77" s="66">
        <v>6000</v>
      </c>
      <c r="D77" s="67">
        <f t="shared" si="16"/>
        <v>6168.3072190545172</v>
      </c>
      <c r="E77" s="67">
        <f t="shared" si="17"/>
        <v>9635.4766470182967</v>
      </c>
      <c r="F77" s="67">
        <f t="shared" si="18"/>
        <v>12551.926222036775</v>
      </c>
      <c r="G77" s="67">
        <f t="shared" si="19"/>
        <v>15179.466838015476</v>
      </c>
      <c r="H77" s="68"/>
      <c r="I77" s="66">
        <v>6000</v>
      </c>
      <c r="J77" s="67">
        <f t="shared" si="20"/>
        <v>3027.8078298300525</v>
      </c>
      <c r="K77" s="67">
        <f t="shared" si="21"/>
        <v>4724.0979254699532</v>
      </c>
      <c r="L77" s="67">
        <f t="shared" si="22"/>
        <v>6146.6635655258524</v>
      </c>
      <c r="M77" s="67">
        <f t="shared" si="23"/>
        <v>7424.5298798951653</v>
      </c>
      <c r="N77" s="56"/>
      <c r="P77" s="69">
        <f>ROUND((0.86*J77/('Nová data tabulka Exact'!$U$1-'Nová data tabulka Exact'!$U$2))/(0.86*D77/10),2)</f>
        <v>0.25</v>
      </c>
      <c r="Q77" s="69">
        <f>ROUND((0.86*K77/('Nová data tabulka Exact'!$U$1-'Nová data tabulka Exact'!$U$2))/(0.86*E77/10),2)</f>
        <v>0.25</v>
      </c>
      <c r="R77" s="69">
        <f>ROUND((0.86*L77/('Nová data tabulka Exact'!$U$1-'Nová data tabulka Exact'!$U$2))/(0.86*F77/10),2)</f>
        <v>0.24</v>
      </c>
      <c r="S77" s="69">
        <f>ROUND((0.86*M77/('Nová data tabulka Exact'!$U$1-'Nová data tabulka Exact'!$U$2))/(0.86*G77/10),2)</f>
        <v>0.24</v>
      </c>
    </row>
    <row r="78" spans="2:19" ht="15" thickBot="1" x14ac:dyDescent="0.4">
      <c r="B78" s="71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3"/>
    </row>
  </sheetData>
  <sheetProtection algorithmName="SHA-512" hashValue="DAzvt3+o2B3nY2wblU1i8IoeVLLsSyOAeLHeovDayw6WWekthuICukPk5qL3UYIg4l7eMfX415jDW2KD+NjkSA==" saltValue="s+y7o7TMKKCeXtyMSFDZ2Q==" spinCount="100000" sheet="1" objects="1" scenarios="1"/>
  <mergeCells count="16">
    <mergeCell ref="C4:I4"/>
    <mergeCell ref="J3:K3"/>
    <mergeCell ref="C3:I3"/>
    <mergeCell ref="K4:L4"/>
    <mergeCell ref="D19:G19"/>
    <mergeCell ref="J19:M19"/>
    <mergeCell ref="J18:M18"/>
    <mergeCell ref="I17:M17"/>
    <mergeCell ref="G8:M8"/>
    <mergeCell ref="G14:M15"/>
    <mergeCell ref="C13:E15"/>
    <mergeCell ref="C8:E11"/>
    <mergeCell ref="C17:G17"/>
    <mergeCell ref="D18:G18"/>
    <mergeCell ref="C18:C20"/>
    <mergeCell ref="I18:I20"/>
  </mergeCells>
  <conditionalFormatting sqref="P21:S77">
    <cfRule type="cellIs" dxfId="11" priority="1" operator="notBetween">
      <formula>0.5</formula>
      <formula>2</formula>
    </cfRule>
    <cfRule type="cellIs" dxfId="10" priority="2" operator="between">
      <formula>0.5</formula>
      <formula>2</formula>
    </cfRule>
  </conditionalFormatting>
  <pageMargins left="0.7" right="0.7" top="0.78740157499999996" bottom="0.78740157499999996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>
                <anchor moveWithCells="1">
                  <from>
                    <xdr:col>3</xdr:col>
                    <xdr:colOff>76200</xdr:colOff>
                    <xdr:row>4</xdr:row>
                    <xdr:rowOff>133350</xdr:rowOff>
                  </from>
                  <to>
                    <xdr:col>4</xdr:col>
                    <xdr:colOff>95250</xdr:colOff>
                    <xdr:row>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Drop Down 2">
              <controlPr defaultSize="0" autoLine="0" autoPict="0">
                <anchor moveWithCells="1">
                  <from>
                    <xdr:col>6</xdr:col>
                    <xdr:colOff>12700</xdr:colOff>
                    <xdr:row>4</xdr:row>
                    <xdr:rowOff>146050</xdr:rowOff>
                  </from>
                  <to>
                    <xdr:col>7</xdr:col>
                    <xdr:colOff>0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Drop Down 3">
              <controlPr defaultSize="0" autoLine="0" autoPict="0">
                <anchor moveWithCells="1">
                  <from>
                    <xdr:col>8</xdr:col>
                    <xdr:colOff>31750</xdr:colOff>
                    <xdr:row>4</xdr:row>
                    <xdr:rowOff>152400</xdr:rowOff>
                  </from>
                  <to>
                    <xdr:col>8</xdr:col>
                    <xdr:colOff>704850</xdr:colOff>
                    <xdr:row>6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Drop Down 4">
              <controlPr defaultSize="0" autoLine="0" autoPict="0">
                <anchor moveWithCells="1">
                  <from>
                    <xdr:col>10</xdr:col>
                    <xdr:colOff>19050</xdr:colOff>
                    <xdr:row>4</xdr:row>
                    <xdr:rowOff>146050</xdr:rowOff>
                  </from>
                  <to>
                    <xdr:col>10</xdr:col>
                    <xdr:colOff>793750</xdr:colOff>
                    <xdr:row>6</xdr:row>
                    <xdr:rowOff>31750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59"/>
  <sheetViews>
    <sheetView workbookViewId="0">
      <selection activeCell="Q1" sqref="Q1"/>
    </sheetView>
  </sheetViews>
  <sheetFormatPr defaultColWidth="9.1796875" defaultRowHeight="14.5" x14ac:dyDescent="0.35"/>
  <cols>
    <col min="1" max="4" width="7.1796875" style="10" bestFit="1" customWidth="1"/>
    <col min="5" max="5" width="5.54296875" style="10" bestFit="1" customWidth="1"/>
    <col min="6" max="6" width="2.26953125" style="10" bestFit="1" customWidth="1"/>
    <col min="7" max="10" width="7.1796875" style="10" bestFit="1" customWidth="1"/>
    <col min="11" max="11" width="2.453125" style="10" customWidth="1"/>
    <col min="12" max="12" width="11.7265625" style="10" bestFit="1" customWidth="1"/>
    <col min="13" max="13" width="7.26953125" style="32" bestFit="1" customWidth="1"/>
    <col min="14" max="14" width="9.81640625" style="33" bestFit="1" customWidth="1"/>
    <col min="15" max="15" width="2" style="10" customWidth="1"/>
    <col min="16" max="18" width="3.453125" style="10" bestFit="1" customWidth="1"/>
    <col min="19" max="19" width="2.54296875" style="10" customWidth="1"/>
    <col min="20" max="20" width="28.54296875" style="10" bestFit="1" customWidth="1"/>
    <col min="21" max="21" width="6.54296875" style="10" bestFit="1" customWidth="1"/>
    <col min="22" max="22" width="5.81640625" style="10" bestFit="1" customWidth="1"/>
    <col min="23" max="23" width="6.7265625" style="10" bestFit="1" customWidth="1"/>
    <col min="24" max="24" width="13.453125" style="10" bestFit="1" customWidth="1"/>
    <col min="25" max="25" width="6" style="10" bestFit="1" customWidth="1"/>
    <col min="26" max="26" width="11.7265625" style="10" bestFit="1" customWidth="1"/>
    <col min="27" max="27" width="4.453125" style="10" bestFit="1" customWidth="1"/>
    <col min="28" max="28" width="10.81640625" style="10" bestFit="1" customWidth="1"/>
    <col min="29" max="34" width="6.54296875" style="10" customWidth="1"/>
    <col min="35" max="37" width="4.453125" style="10" bestFit="1" customWidth="1"/>
    <col min="38" max="43" width="3.453125" style="10" bestFit="1" customWidth="1"/>
    <col min="44" max="44" width="19.453125" style="10" bestFit="1" customWidth="1"/>
    <col min="45" max="45" width="4.453125" style="10" bestFit="1" customWidth="1"/>
    <col min="46" max="46" width="6.54296875" style="10" bestFit="1" customWidth="1"/>
    <col min="47" max="47" width="7.7265625" style="10" bestFit="1" customWidth="1"/>
    <col min="48" max="48" width="8.7265625" style="10" bestFit="1" customWidth="1"/>
    <col min="49" max="50" width="9.81640625" style="10" bestFit="1" customWidth="1"/>
    <col min="51" max="51" width="10.81640625" style="10" bestFit="1" customWidth="1"/>
    <col min="52" max="53" width="12" style="10" bestFit="1" customWidth="1"/>
    <col min="54" max="16384" width="9.1796875" style="10"/>
  </cols>
  <sheetData>
    <row r="1" spans="1:53" x14ac:dyDescent="0.35">
      <c r="A1" s="10">
        <v>1</v>
      </c>
      <c r="B1" s="10">
        <v>2</v>
      </c>
      <c r="C1" s="10">
        <v>3</v>
      </c>
      <c r="D1" s="10">
        <v>4</v>
      </c>
      <c r="E1" s="10">
        <v>5</v>
      </c>
      <c r="F1" s="10">
        <v>6</v>
      </c>
      <c r="G1" s="10">
        <v>7</v>
      </c>
      <c r="H1" s="10">
        <v>8</v>
      </c>
      <c r="I1" s="10">
        <v>9</v>
      </c>
      <c r="J1" s="10">
        <v>10</v>
      </c>
      <c r="L1" s="11" t="s">
        <v>35</v>
      </c>
      <c r="M1" s="101" t="s">
        <v>34</v>
      </c>
      <c r="N1" s="102"/>
      <c r="P1" s="10">
        <f>INDEX(P3:P58,P2)</f>
        <v>60</v>
      </c>
      <c r="Q1" s="10">
        <f t="shared" ref="Q1:R1" si="0">INDEX(Q3:Q58,Q2)</f>
        <v>40</v>
      </c>
      <c r="R1" s="10">
        <f t="shared" si="0"/>
        <v>20</v>
      </c>
      <c r="T1" s="12" t="s">
        <v>48</v>
      </c>
      <c r="U1" s="13">
        <f>P1</f>
        <v>60</v>
      </c>
      <c r="V1" s="13" t="s">
        <v>49</v>
      </c>
      <c r="W1" s="12"/>
      <c r="X1" s="13" t="s">
        <v>50</v>
      </c>
      <c r="Y1" s="14"/>
      <c r="Z1" s="103" t="s">
        <v>51</v>
      </c>
      <c r="AA1" s="103"/>
      <c r="AB1" s="103"/>
      <c r="AC1" s="103" t="s">
        <v>52</v>
      </c>
      <c r="AD1" s="103"/>
      <c r="AE1" s="103"/>
      <c r="AF1" s="103"/>
      <c r="AG1" s="103"/>
      <c r="AH1" s="103"/>
      <c r="AI1" s="15"/>
      <c r="AJ1" s="15"/>
      <c r="AK1" s="15"/>
      <c r="AL1" s="15"/>
      <c r="AM1" s="15"/>
      <c r="AN1" s="15"/>
      <c r="AO1" s="15"/>
      <c r="AP1" s="15"/>
      <c r="AQ1" s="15"/>
      <c r="AR1" s="12"/>
      <c r="AS1" s="12"/>
      <c r="AT1" s="12"/>
      <c r="AU1" s="12"/>
      <c r="AV1" s="12"/>
      <c r="AW1" s="12"/>
      <c r="AX1" s="12"/>
      <c r="AY1" s="16"/>
      <c r="AZ1" s="12"/>
      <c r="BA1" s="12"/>
    </row>
    <row r="2" spans="1:53" x14ac:dyDescent="0.35">
      <c r="A2" s="10" t="s">
        <v>37</v>
      </c>
      <c r="B2" s="17">
        <v>335.52048518047809</v>
      </c>
      <c r="C2" s="17">
        <v>524.11458845078187</v>
      </c>
      <c r="D2" s="17">
        <v>682.75269476815618</v>
      </c>
      <c r="E2" s="17">
        <v>825.67581305598321</v>
      </c>
      <c r="G2" s="18">
        <v>1.2943148300442044</v>
      </c>
      <c r="H2" s="18">
        <v>1.2964785571515804</v>
      </c>
      <c r="I2" s="18">
        <v>1.2986422842589564</v>
      </c>
      <c r="J2" s="18">
        <v>1.3008060113663302</v>
      </c>
      <c r="L2" s="11" t="s">
        <v>36</v>
      </c>
      <c r="M2" s="19" t="s">
        <v>16</v>
      </c>
      <c r="N2" s="18" t="s">
        <v>17</v>
      </c>
      <c r="P2" s="10">
        <v>31</v>
      </c>
      <c r="Q2" s="10">
        <v>32</v>
      </c>
      <c r="R2" s="10">
        <v>9</v>
      </c>
      <c r="T2" s="12" t="s">
        <v>53</v>
      </c>
      <c r="U2" s="13">
        <f>Q1</f>
        <v>40</v>
      </c>
      <c r="V2" s="13" t="s">
        <v>54</v>
      </c>
      <c r="W2" s="12"/>
      <c r="X2" s="13" t="s">
        <v>55</v>
      </c>
      <c r="Y2" s="20" t="s">
        <v>56</v>
      </c>
      <c r="Z2" s="103" t="s">
        <v>57</v>
      </c>
      <c r="AA2" s="103"/>
      <c r="AB2" s="103"/>
      <c r="AC2" s="103" t="s">
        <v>58</v>
      </c>
      <c r="AD2" s="103"/>
      <c r="AE2" s="103"/>
      <c r="AF2" s="103"/>
      <c r="AG2" s="103"/>
      <c r="AH2" s="103"/>
      <c r="AI2" s="15"/>
      <c r="AJ2" s="15"/>
      <c r="AK2" s="15"/>
      <c r="AL2" s="15"/>
      <c r="AM2" s="15"/>
      <c r="AN2" s="15"/>
      <c r="AO2" s="15"/>
      <c r="AP2" s="15"/>
      <c r="AQ2" s="15"/>
      <c r="AR2" s="12"/>
      <c r="AS2" s="12"/>
      <c r="AT2" s="12"/>
      <c r="AU2" s="12"/>
      <c r="AV2" s="12"/>
      <c r="AW2" s="12"/>
      <c r="AX2" s="12"/>
      <c r="AY2" s="16"/>
      <c r="AZ2" s="12"/>
      <c r="BA2" s="12"/>
    </row>
    <row r="3" spans="1:53" x14ac:dyDescent="0.35">
      <c r="A3" s="10" t="s">
        <v>38</v>
      </c>
      <c r="B3" s="17">
        <v>435.44618949836439</v>
      </c>
      <c r="C3" s="17">
        <v>692.68995068984145</v>
      </c>
      <c r="D3" s="17">
        <v>900.15771671167477</v>
      </c>
      <c r="E3" s="17">
        <v>1076.8149592813479</v>
      </c>
      <c r="G3" s="18">
        <v>1.3049360165062796</v>
      </c>
      <c r="H3" s="18">
        <v>1.2990488028078808</v>
      </c>
      <c r="I3" s="18">
        <v>1.2931615891094856</v>
      </c>
      <c r="J3" s="18">
        <v>1.2872743754110874</v>
      </c>
      <c r="L3" s="11" t="s">
        <v>3</v>
      </c>
      <c r="M3" s="17">
        <v>335.52048518047809</v>
      </c>
      <c r="N3" s="18">
        <v>1.2943148300442044</v>
      </c>
      <c r="P3" s="12">
        <v>90</v>
      </c>
      <c r="Q3" s="12">
        <v>71</v>
      </c>
      <c r="R3" s="12">
        <v>28</v>
      </c>
      <c r="T3" s="12" t="s">
        <v>59</v>
      </c>
      <c r="U3" s="13">
        <f>R1</f>
        <v>20</v>
      </c>
      <c r="V3" s="13" t="s">
        <v>60</v>
      </c>
      <c r="W3" s="12"/>
      <c r="X3" s="13"/>
      <c r="Y3" s="20" t="s">
        <v>61</v>
      </c>
      <c r="Z3" s="103" t="s">
        <v>62</v>
      </c>
      <c r="AA3" s="103"/>
      <c r="AB3" s="103"/>
      <c r="AC3" s="103" t="s">
        <v>58</v>
      </c>
      <c r="AD3" s="103"/>
      <c r="AE3" s="103"/>
      <c r="AF3" s="103"/>
      <c r="AG3" s="103"/>
      <c r="AH3" s="103"/>
      <c r="AI3" s="15"/>
      <c r="AJ3" s="15"/>
      <c r="AK3" s="15"/>
      <c r="AL3" s="15"/>
      <c r="AM3" s="15"/>
      <c r="AN3" s="15"/>
      <c r="AO3" s="15"/>
      <c r="AP3" s="15"/>
      <c r="AQ3" s="15"/>
      <c r="AR3" s="12"/>
      <c r="AS3" s="12"/>
      <c r="AT3" s="12"/>
      <c r="AU3" s="12"/>
      <c r="AV3" s="12"/>
      <c r="AW3" s="12"/>
      <c r="AX3" s="12"/>
      <c r="AY3" s="16"/>
      <c r="AZ3" s="12"/>
      <c r="BA3" s="12"/>
    </row>
    <row r="4" spans="1:53" x14ac:dyDescent="0.35">
      <c r="A4" s="10" t="s">
        <v>39</v>
      </c>
      <c r="B4" s="17">
        <v>435.44618949836439</v>
      </c>
      <c r="C4" s="17">
        <v>692.68995068984145</v>
      </c>
      <c r="D4" s="17">
        <v>900.15771671167477</v>
      </c>
      <c r="E4" s="17">
        <v>1076.8149592813479</v>
      </c>
      <c r="G4" s="18">
        <v>1.3049360165062796</v>
      </c>
      <c r="H4" s="18">
        <v>1.2990488028078808</v>
      </c>
      <c r="I4" s="18">
        <v>1.2931615891094856</v>
      </c>
      <c r="J4" s="18">
        <v>1.2872743754110874</v>
      </c>
      <c r="L4" s="11" t="s">
        <v>0</v>
      </c>
      <c r="M4" s="17">
        <v>524.11458845078187</v>
      </c>
      <c r="N4" s="18">
        <v>1.2964785571515804</v>
      </c>
      <c r="P4" s="12">
        <v>89</v>
      </c>
      <c r="Q4" s="12">
        <v>70</v>
      </c>
      <c r="R4" s="12">
        <v>27</v>
      </c>
      <c r="T4" s="12" t="s">
        <v>63</v>
      </c>
      <c r="U4" s="13">
        <f>AVERAGE(U1:U2)</f>
        <v>50</v>
      </c>
      <c r="V4" s="12"/>
      <c r="W4" s="12"/>
      <c r="X4" s="21">
        <f>(U2-U3)/(U1-U3)</f>
        <v>0.5</v>
      </c>
      <c r="Y4" s="15"/>
      <c r="Z4" s="104">
        <f>IF(X4&lt;0.7,(U1-U2)/LN((U1-U3)/(U2-U3)),(U1+U2)/2-U3)</f>
        <v>28.85390081777927</v>
      </c>
      <c r="AA4" s="104"/>
      <c r="AB4" s="104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2"/>
      <c r="AS4" s="105"/>
      <c r="AT4" s="105"/>
      <c r="AU4" s="105"/>
      <c r="AV4" s="105"/>
      <c r="AW4" s="105"/>
      <c r="AX4" s="105"/>
      <c r="AY4" s="105"/>
      <c r="AZ4" s="105"/>
      <c r="BA4" s="105"/>
    </row>
    <row r="5" spans="1:53" x14ac:dyDescent="0.35">
      <c r="A5" s="10" t="s">
        <v>40</v>
      </c>
      <c r="B5" s="17">
        <v>577.91012454480847</v>
      </c>
      <c r="C5" s="17">
        <v>902.75002709421983</v>
      </c>
      <c r="D5" s="17">
        <v>1175.9928597341166</v>
      </c>
      <c r="E5" s="17">
        <v>1422.1677454363157</v>
      </c>
      <c r="G5" s="18">
        <v>1.2943148300442044</v>
      </c>
      <c r="H5" s="18">
        <v>1.29647855715158</v>
      </c>
      <c r="I5" s="18">
        <v>1.2986422842589564</v>
      </c>
      <c r="J5" s="18">
        <v>1.3008060113663307</v>
      </c>
      <c r="L5" s="11" t="s">
        <v>1</v>
      </c>
      <c r="M5" s="17">
        <v>682.75269476815618</v>
      </c>
      <c r="N5" s="18">
        <v>1.2986422842589564</v>
      </c>
      <c r="P5" s="12">
        <v>88</v>
      </c>
      <c r="Q5" s="12">
        <v>69</v>
      </c>
      <c r="R5" s="12">
        <v>26</v>
      </c>
      <c r="T5" s="12" t="s">
        <v>64</v>
      </c>
      <c r="U5" s="22">
        <f>ROUND((0.86*U6/($U$1-$U$2))/(0.86*U7/10),2)</f>
        <v>0.26</v>
      </c>
      <c r="V5" s="12"/>
      <c r="W5" s="12"/>
      <c r="X5" s="21"/>
      <c r="Y5" s="15"/>
      <c r="Z5" s="23"/>
      <c r="AA5" s="23"/>
      <c r="AB5" s="23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2"/>
      <c r="AS5" s="35"/>
      <c r="AT5" s="35"/>
      <c r="AU5" s="35"/>
      <c r="AV5" s="35"/>
      <c r="AW5" s="35"/>
      <c r="AX5" s="35"/>
      <c r="AY5" s="35"/>
      <c r="AZ5" s="35"/>
      <c r="BA5" s="35"/>
    </row>
    <row r="6" spans="1:53" x14ac:dyDescent="0.35">
      <c r="A6" s="10" t="s">
        <v>41</v>
      </c>
      <c r="B6" s="17">
        <v>666.38599895503773</v>
      </c>
      <c r="C6" s="17">
        <v>1060.0595340800419</v>
      </c>
      <c r="D6" s="17">
        <v>1377.5582695051885</v>
      </c>
      <c r="E6" s="17">
        <v>1647.9060550675104</v>
      </c>
      <c r="G6" s="18">
        <v>1.30493601650628</v>
      </c>
      <c r="H6" s="18">
        <v>1.2990488028078808</v>
      </c>
      <c r="I6" s="18">
        <v>1.2931615891094856</v>
      </c>
      <c r="J6" s="18">
        <v>1.2872743754110874</v>
      </c>
      <c r="L6" s="11" t="s">
        <v>2</v>
      </c>
      <c r="M6" s="17">
        <v>825.67581305598321</v>
      </c>
      <c r="N6" s="18">
        <v>1.3008060113663302</v>
      </c>
      <c r="P6" s="12">
        <v>87</v>
      </c>
      <c r="Q6" s="12">
        <v>68</v>
      </c>
      <c r="R6" s="12">
        <v>25</v>
      </c>
      <c r="T6" s="12"/>
      <c r="U6" s="43">
        <f>U7*(V6/50)^U8</f>
        <v>1077.5984562102703</v>
      </c>
      <c r="V6" s="13">
        <f>(U1+U2)/2-U3</f>
        <v>30</v>
      </c>
      <c r="W6" s="12"/>
      <c r="X6" s="13"/>
      <c r="Y6" s="13"/>
      <c r="Z6" s="12"/>
      <c r="AA6" s="13"/>
      <c r="AB6" s="12"/>
      <c r="AC6" s="13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2"/>
      <c r="AS6" s="105"/>
      <c r="AT6" s="105"/>
      <c r="AU6" s="105"/>
      <c r="AV6" s="105"/>
      <c r="AW6" s="105"/>
      <c r="AX6" s="105"/>
      <c r="AY6" s="105"/>
      <c r="AZ6" s="105"/>
      <c r="BA6" s="105"/>
    </row>
    <row r="7" spans="1:53" x14ac:dyDescent="0.35">
      <c r="A7" s="10" t="s">
        <v>42</v>
      </c>
      <c r="B7" s="17">
        <v>666.38599895503773</v>
      </c>
      <c r="C7" s="17">
        <v>1060.0595340800419</v>
      </c>
      <c r="D7" s="17">
        <v>1377.5582695051885</v>
      </c>
      <c r="E7" s="17">
        <v>1647.9060550675104</v>
      </c>
      <c r="G7" s="18">
        <v>1.30493601650628</v>
      </c>
      <c r="H7" s="18">
        <v>1.2990488028078808</v>
      </c>
      <c r="I7" s="18">
        <v>1.2931615891094856</v>
      </c>
      <c r="J7" s="18">
        <v>1.2872743754110874</v>
      </c>
      <c r="L7" s="11" t="s">
        <v>30</v>
      </c>
      <c r="M7" s="17">
        <v>435.44618949836439</v>
      </c>
      <c r="N7" s="18">
        <v>1.3049360165062796</v>
      </c>
      <c r="P7" s="12">
        <v>86</v>
      </c>
      <c r="Q7" s="12">
        <v>67</v>
      </c>
      <c r="R7" s="12">
        <v>24</v>
      </c>
      <c r="T7" s="12"/>
      <c r="U7" s="44">
        <f>VLOOKUP(A15,A2:E13,4,FALSE)</f>
        <v>2091.9877036727958</v>
      </c>
      <c r="V7" s="12"/>
      <c r="W7" s="12"/>
      <c r="X7" s="13"/>
      <c r="Y7" s="13"/>
      <c r="Z7" s="12"/>
      <c r="AA7" s="13"/>
      <c r="AB7" s="12"/>
      <c r="AC7" s="13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2"/>
      <c r="AS7" s="36"/>
      <c r="AT7" s="36"/>
      <c r="AU7" s="36"/>
      <c r="AV7" s="36"/>
      <c r="AW7" s="36"/>
      <c r="AX7" s="36"/>
      <c r="AY7" s="36"/>
      <c r="AZ7" s="36"/>
      <c r="BA7" s="36"/>
    </row>
    <row r="8" spans="1:53" x14ac:dyDescent="0.35">
      <c r="A8" s="10" t="s">
        <v>43</v>
      </c>
      <c r="B8" s="17">
        <v>808.56946957300408</v>
      </c>
      <c r="C8" s="17">
        <v>1263.0616415303734</v>
      </c>
      <c r="D8" s="17">
        <v>1645.3629767531936</v>
      </c>
      <c r="E8" s="17">
        <v>1989.7928254449835</v>
      </c>
      <c r="G8" s="18">
        <v>1.2943148300442049</v>
      </c>
      <c r="H8" s="18">
        <v>1.29647855715158</v>
      </c>
      <c r="I8" s="18">
        <v>1.2986422842589567</v>
      </c>
      <c r="J8" s="18">
        <v>1.3008060113663307</v>
      </c>
      <c r="L8" s="11" t="s">
        <v>31</v>
      </c>
      <c r="M8" s="17">
        <v>692.68995068984145</v>
      </c>
      <c r="N8" s="18">
        <v>1.2990488028078808</v>
      </c>
      <c r="P8" s="12">
        <v>85</v>
      </c>
      <c r="Q8" s="12">
        <v>66</v>
      </c>
      <c r="R8" s="12">
        <v>23</v>
      </c>
      <c r="T8" s="12"/>
      <c r="U8" s="45">
        <f>VLOOKUP(A15,A2:J13,9,FALSE)</f>
        <v>1.2986422842589564</v>
      </c>
      <c r="V8" s="12"/>
      <c r="W8" s="12"/>
      <c r="X8" s="13"/>
      <c r="Y8" s="12"/>
      <c r="Z8" s="12"/>
      <c r="AA8" s="12"/>
      <c r="AB8" s="12"/>
      <c r="AC8" s="12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2"/>
      <c r="AS8" s="12"/>
      <c r="AT8" s="12"/>
      <c r="AU8" s="12"/>
      <c r="AV8" s="12"/>
      <c r="AW8" s="12"/>
      <c r="AX8" s="12"/>
      <c r="AY8" s="16"/>
      <c r="AZ8" s="12"/>
      <c r="BA8" s="12"/>
    </row>
    <row r="9" spans="1:53" x14ac:dyDescent="0.35">
      <c r="A9" s="10" t="s">
        <v>44</v>
      </c>
      <c r="B9" s="17">
        <v>890.58880123022197</v>
      </c>
      <c r="C9" s="17">
        <v>1416.7121625745783</v>
      </c>
      <c r="D9" s="17">
        <v>1841.0320291650994</v>
      </c>
      <c r="E9" s="17">
        <v>2202.3372045990727</v>
      </c>
      <c r="G9" s="18">
        <v>1.3049360165062796</v>
      </c>
      <c r="H9" s="18">
        <v>1.2990488028078808</v>
      </c>
      <c r="I9" s="18">
        <v>1.2931615891094856</v>
      </c>
      <c r="J9" s="18">
        <v>1.2872743754110869</v>
      </c>
      <c r="L9" s="11" t="s">
        <v>32</v>
      </c>
      <c r="M9" s="17">
        <v>900.15771671167477</v>
      </c>
      <c r="N9" s="18">
        <v>1.2931615891094856</v>
      </c>
      <c r="P9" s="12">
        <v>84</v>
      </c>
      <c r="Q9" s="12">
        <v>65</v>
      </c>
      <c r="R9" s="12">
        <v>22</v>
      </c>
      <c r="T9" s="12"/>
      <c r="U9" s="13"/>
      <c r="V9" s="12"/>
      <c r="W9" s="12"/>
      <c r="X9" s="13"/>
      <c r="Y9" s="44"/>
      <c r="Z9" s="44"/>
      <c r="AA9" s="44"/>
      <c r="AB9" s="44"/>
      <c r="AC9" s="44"/>
      <c r="AD9" s="44"/>
      <c r="AE9" s="44"/>
      <c r="AF9" s="44"/>
      <c r="AG9" s="44"/>
      <c r="AH9" s="15"/>
      <c r="AI9" s="44"/>
      <c r="AJ9" s="44"/>
      <c r="AK9" s="44"/>
      <c r="AL9" s="44"/>
      <c r="AM9" s="44"/>
      <c r="AN9" s="44"/>
      <c r="AO9" s="44"/>
      <c r="AP9" s="44"/>
      <c r="AQ9" s="44"/>
      <c r="AR9" s="12"/>
      <c r="AS9" s="44"/>
      <c r="AT9" s="44"/>
      <c r="AU9" s="44"/>
      <c r="AV9" s="44"/>
      <c r="AW9" s="44"/>
      <c r="AX9" s="44"/>
      <c r="AY9" s="50"/>
      <c r="AZ9" s="44"/>
      <c r="BA9" s="44"/>
    </row>
    <row r="10" spans="1:53" x14ac:dyDescent="0.35">
      <c r="A10" s="10" t="s">
        <v>66</v>
      </c>
      <c r="B10" s="17">
        <v>890.58880123022197</v>
      </c>
      <c r="C10" s="17">
        <v>1416.7121625745783</v>
      </c>
      <c r="D10" s="17">
        <v>1841.0320291650994</v>
      </c>
      <c r="E10" s="17">
        <v>2202.3372045990727</v>
      </c>
      <c r="G10" s="18">
        <v>1.3049360165062796</v>
      </c>
      <c r="H10" s="18">
        <v>1.2990488028078808</v>
      </c>
      <c r="I10" s="18">
        <v>1.2931615891094856</v>
      </c>
      <c r="J10" s="18">
        <v>1.2872743754110869</v>
      </c>
      <c r="L10" s="11" t="s">
        <v>33</v>
      </c>
      <c r="M10" s="17">
        <v>1076.8149592813479</v>
      </c>
      <c r="N10" s="18">
        <v>1.2872743754110874</v>
      </c>
      <c r="P10" s="12">
        <v>83</v>
      </c>
      <c r="Q10" s="12">
        <v>64</v>
      </c>
      <c r="R10" s="12">
        <v>21</v>
      </c>
      <c r="T10" s="12"/>
      <c r="U10" s="13"/>
      <c r="V10" s="12"/>
      <c r="W10" s="12"/>
      <c r="X10" s="13"/>
      <c r="Y10" s="44"/>
      <c r="Z10" s="44"/>
      <c r="AA10" s="44"/>
      <c r="AB10" s="44"/>
      <c r="AC10" s="44"/>
      <c r="AD10" s="44"/>
      <c r="AE10" s="44"/>
      <c r="AF10" s="44"/>
      <c r="AG10" s="44"/>
      <c r="AH10" s="15"/>
      <c r="AI10" s="44"/>
      <c r="AJ10" s="44"/>
      <c r="AK10" s="44"/>
      <c r="AL10" s="44"/>
      <c r="AM10" s="44"/>
      <c r="AN10" s="44"/>
      <c r="AO10" s="44"/>
      <c r="AP10" s="44"/>
      <c r="AQ10" s="44"/>
      <c r="AR10" s="12"/>
      <c r="AS10" s="44"/>
      <c r="AT10" s="44"/>
      <c r="AU10" s="44"/>
      <c r="AV10" s="44"/>
      <c r="AW10" s="44"/>
      <c r="AX10" s="44"/>
      <c r="AY10" s="50"/>
      <c r="AZ10" s="44"/>
      <c r="BA10" s="44"/>
    </row>
    <row r="11" spans="1:53" x14ac:dyDescent="0.35">
      <c r="A11" s="10" t="s">
        <v>45</v>
      </c>
      <c r="B11" s="17">
        <v>1028.051203175753</v>
      </c>
      <c r="C11" s="17">
        <v>1605.9127745030494</v>
      </c>
      <c r="D11" s="17">
        <v>2091.9877036727958</v>
      </c>
      <c r="E11" s="17">
        <v>2529.911139669246</v>
      </c>
      <c r="G11" s="18">
        <v>1.2943148300442044</v>
      </c>
      <c r="H11" s="18">
        <v>1.29647855715158</v>
      </c>
      <c r="I11" s="18">
        <v>1.2986422842589564</v>
      </c>
      <c r="J11" s="18">
        <v>1.3008060113663302</v>
      </c>
      <c r="L11" s="11" t="s">
        <v>4</v>
      </c>
      <c r="M11" s="17">
        <v>577.91012454480847</v>
      </c>
      <c r="N11" s="18">
        <v>1.2943148300442044</v>
      </c>
      <c r="P11" s="12">
        <v>82</v>
      </c>
      <c r="Q11" s="12">
        <v>63</v>
      </c>
      <c r="R11" s="12">
        <v>20</v>
      </c>
      <c r="T11" s="12"/>
      <c r="U11" s="13"/>
      <c r="V11" s="12"/>
      <c r="W11" s="12"/>
      <c r="X11" s="13"/>
      <c r="Y11" s="44"/>
      <c r="Z11" s="44"/>
      <c r="AA11" s="44"/>
      <c r="AB11" s="44"/>
      <c r="AC11" s="44"/>
      <c r="AD11" s="44"/>
      <c r="AE11" s="44"/>
      <c r="AF11" s="44"/>
      <c r="AG11" s="44"/>
      <c r="AH11" s="15"/>
      <c r="AI11" s="44"/>
      <c r="AJ11" s="44"/>
      <c r="AK11" s="44"/>
      <c r="AL11" s="44"/>
      <c r="AM11" s="44"/>
      <c r="AN11" s="44"/>
      <c r="AO11" s="44"/>
      <c r="AP11" s="44"/>
      <c r="AQ11" s="44"/>
      <c r="AR11" s="12"/>
      <c r="AS11" s="44"/>
      <c r="AT11" s="44"/>
      <c r="AU11" s="44"/>
      <c r="AV11" s="44"/>
      <c r="AW11" s="44"/>
      <c r="AX11" s="44"/>
      <c r="AY11" s="50"/>
      <c r="AZ11" s="44"/>
      <c r="BA11" s="44"/>
    </row>
    <row r="12" spans="1:53" x14ac:dyDescent="0.35">
      <c r="A12" s="10" t="s">
        <v>46</v>
      </c>
      <c r="B12" s="17">
        <v>1110.0534401033503</v>
      </c>
      <c r="C12" s="17">
        <v>1765.8275149314791</v>
      </c>
      <c r="D12" s="17">
        <v>2294.711020947228</v>
      </c>
      <c r="E12" s="17">
        <v>2745.0513490128938</v>
      </c>
      <c r="G12" s="18">
        <v>1.3049360165062796</v>
      </c>
      <c r="H12" s="18">
        <v>1.2990488028078808</v>
      </c>
      <c r="I12" s="18">
        <v>1.2931615891094856</v>
      </c>
      <c r="J12" s="18">
        <v>1.2872743754110869</v>
      </c>
      <c r="L12" s="11" t="s">
        <v>5</v>
      </c>
      <c r="M12" s="17">
        <v>902.75002709421983</v>
      </c>
      <c r="N12" s="18">
        <v>1.29647855715158</v>
      </c>
      <c r="P12" s="12">
        <v>81</v>
      </c>
      <c r="Q12" s="12">
        <v>62</v>
      </c>
      <c r="R12" s="12">
        <v>19</v>
      </c>
      <c r="T12" s="24"/>
      <c r="U12" s="24"/>
      <c r="V12" s="24"/>
      <c r="W12" s="24"/>
      <c r="X12" s="25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6"/>
      <c r="AZ12" s="24"/>
      <c r="BA12" s="24"/>
    </row>
    <row r="13" spans="1:53" x14ac:dyDescent="0.35">
      <c r="A13" s="10" t="s">
        <v>47</v>
      </c>
      <c r="B13" s="17">
        <v>1110.0534401033503</v>
      </c>
      <c r="C13" s="17">
        <v>1765.8275149314791</v>
      </c>
      <c r="D13" s="17">
        <v>2294.711020947228</v>
      </c>
      <c r="E13" s="17">
        <v>2745.0513490128938</v>
      </c>
      <c r="G13" s="18">
        <v>1.3049360165062796</v>
      </c>
      <c r="H13" s="18">
        <v>1.2990488028078808</v>
      </c>
      <c r="I13" s="18">
        <v>1.2931615891094856</v>
      </c>
      <c r="J13" s="18">
        <v>1.2872743754110869</v>
      </c>
      <c r="L13" s="11" t="s">
        <v>7</v>
      </c>
      <c r="M13" s="17">
        <v>1175.9928597341166</v>
      </c>
      <c r="N13" s="18">
        <v>1.2986422842589564</v>
      </c>
      <c r="P13" s="12">
        <v>80</v>
      </c>
      <c r="Q13" s="12">
        <v>61</v>
      </c>
      <c r="R13" s="12">
        <v>18</v>
      </c>
      <c r="T13" s="24"/>
      <c r="U13" s="24"/>
      <c r="V13" s="24"/>
      <c r="W13" s="24"/>
      <c r="X13" s="25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6"/>
      <c r="AZ13" s="24"/>
      <c r="BA13" s="24"/>
    </row>
    <row r="14" spans="1:53" x14ac:dyDescent="0.35">
      <c r="A14" s="10">
        <v>10</v>
      </c>
      <c r="L14" s="11" t="s">
        <v>6</v>
      </c>
      <c r="M14" s="17">
        <v>1422.1677454363157</v>
      </c>
      <c r="N14" s="18">
        <v>1.3008060113663307</v>
      </c>
      <c r="P14" s="12">
        <v>79</v>
      </c>
      <c r="Q14" s="12">
        <v>60</v>
      </c>
      <c r="R14" s="12">
        <v>17</v>
      </c>
      <c r="T14" s="12"/>
      <c r="U14" s="13"/>
      <c r="V14" s="12"/>
      <c r="W14" s="12"/>
      <c r="X14" s="13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2"/>
      <c r="AS14" s="15"/>
      <c r="AT14" s="15"/>
      <c r="AU14" s="15"/>
      <c r="AV14" s="15"/>
      <c r="AW14" s="15"/>
      <c r="AX14" s="15"/>
      <c r="AY14" s="27"/>
      <c r="AZ14" s="15"/>
      <c r="BA14" s="15"/>
    </row>
    <row r="15" spans="1:53" x14ac:dyDescent="0.35">
      <c r="A15" s="10" t="str">
        <f>INDEX(A2:A13,A14)</f>
        <v>K54</v>
      </c>
      <c r="G15" s="42">
        <f>AVERAGE(G2:J13)</f>
        <v>1.2965902708742121</v>
      </c>
      <c r="L15" s="11" t="s">
        <v>26</v>
      </c>
      <c r="M15" s="17">
        <v>666.38599895503773</v>
      </c>
      <c r="N15" s="18">
        <v>1.30493601650628</v>
      </c>
      <c r="P15" s="12">
        <v>78</v>
      </c>
      <c r="Q15" s="12">
        <v>59</v>
      </c>
      <c r="R15" s="12">
        <v>16</v>
      </c>
      <c r="T15" s="12"/>
      <c r="U15" s="28"/>
      <c r="V15" s="13"/>
      <c r="W15" s="13"/>
      <c r="X15" s="13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2"/>
      <c r="AS15" s="15"/>
      <c r="AT15" s="15"/>
      <c r="AU15" s="15"/>
      <c r="AV15" s="15"/>
      <c r="AW15" s="15"/>
      <c r="AX15" s="15"/>
      <c r="AY15" s="15"/>
      <c r="AZ15" s="15"/>
      <c r="BA15" s="15"/>
    </row>
    <row r="16" spans="1:53" x14ac:dyDescent="0.35">
      <c r="G16" s="42">
        <f>MEDIAN(G2:J13)</f>
        <v>1.2975604207052684</v>
      </c>
      <c r="L16" s="11" t="s">
        <v>27</v>
      </c>
      <c r="M16" s="17">
        <v>1060.0595340800419</v>
      </c>
      <c r="N16" s="18">
        <v>1.2990488028078808</v>
      </c>
      <c r="P16" s="12">
        <v>77</v>
      </c>
      <c r="Q16" s="12">
        <v>58</v>
      </c>
      <c r="R16" s="12">
        <v>15</v>
      </c>
    </row>
    <row r="17" spans="12:18" x14ac:dyDescent="0.35">
      <c r="L17" s="11" t="s">
        <v>28</v>
      </c>
      <c r="M17" s="17">
        <v>1377.5582695051885</v>
      </c>
      <c r="N17" s="18">
        <v>1.2931615891094856</v>
      </c>
      <c r="P17" s="12">
        <v>76</v>
      </c>
      <c r="Q17" s="12">
        <v>57</v>
      </c>
      <c r="R17" s="12"/>
    </row>
    <row r="18" spans="12:18" x14ac:dyDescent="0.35">
      <c r="L18" s="11" t="s">
        <v>29</v>
      </c>
      <c r="M18" s="17">
        <v>1647.9060550675104</v>
      </c>
      <c r="N18" s="18">
        <v>1.2872743754110874</v>
      </c>
      <c r="P18" s="12">
        <v>75</v>
      </c>
      <c r="Q18" s="12">
        <v>56</v>
      </c>
      <c r="R18" s="15"/>
    </row>
    <row r="19" spans="12:18" x14ac:dyDescent="0.35">
      <c r="L19" s="11" t="s">
        <v>8</v>
      </c>
      <c r="M19" s="17">
        <v>808.56946957300408</v>
      </c>
      <c r="N19" s="18">
        <v>1.2943148300442049</v>
      </c>
      <c r="P19" s="12">
        <v>74</v>
      </c>
      <c r="Q19" s="12">
        <v>55</v>
      </c>
      <c r="R19" s="15"/>
    </row>
    <row r="20" spans="12:18" x14ac:dyDescent="0.35">
      <c r="L20" s="11" t="s">
        <v>9</v>
      </c>
      <c r="M20" s="17">
        <v>1263.0616415303734</v>
      </c>
      <c r="N20" s="18">
        <v>1.29647855715158</v>
      </c>
      <c r="P20" s="12">
        <v>73</v>
      </c>
      <c r="Q20" s="12">
        <v>54</v>
      </c>
      <c r="R20" s="12"/>
    </row>
    <row r="21" spans="12:18" x14ac:dyDescent="0.35">
      <c r="L21" s="11" t="s">
        <v>10</v>
      </c>
      <c r="M21" s="17">
        <v>1645.3629767531936</v>
      </c>
      <c r="N21" s="18">
        <v>1.2986422842589567</v>
      </c>
      <c r="P21" s="12">
        <v>72</v>
      </c>
      <c r="Q21" s="12">
        <v>53</v>
      </c>
      <c r="R21" s="12"/>
    </row>
    <row r="22" spans="12:18" x14ac:dyDescent="0.35">
      <c r="L22" s="11" t="s">
        <v>11</v>
      </c>
      <c r="M22" s="17">
        <v>1989.7928254449835</v>
      </c>
      <c r="N22" s="18">
        <v>1.3008060113663307</v>
      </c>
      <c r="P22" s="12">
        <v>71</v>
      </c>
      <c r="Q22" s="12">
        <v>52</v>
      </c>
      <c r="R22" s="12"/>
    </row>
    <row r="23" spans="12:18" x14ac:dyDescent="0.35">
      <c r="L23" s="11" t="s">
        <v>18</v>
      </c>
      <c r="M23" s="17">
        <v>890.58880123022197</v>
      </c>
      <c r="N23" s="18">
        <v>1.3049360165062796</v>
      </c>
      <c r="P23" s="12">
        <v>70</v>
      </c>
      <c r="Q23" s="12">
        <v>51</v>
      </c>
      <c r="R23" s="12"/>
    </row>
    <row r="24" spans="12:18" x14ac:dyDescent="0.35">
      <c r="L24" s="11" t="s">
        <v>19</v>
      </c>
      <c r="M24" s="17">
        <v>1416.7121625745783</v>
      </c>
      <c r="N24" s="18">
        <v>1.2990488028078808</v>
      </c>
      <c r="P24" s="12">
        <v>69</v>
      </c>
      <c r="Q24" s="12">
        <v>50</v>
      </c>
      <c r="R24" s="12"/>
    </row>
    <row r="25" spans="12:18" x14ac:dyDescent="0.35">
      <c r="L25" s="11" t="s">
        <v>20</v>
      </c>
      <c r="M25" s="17">
        <v>1841.0320291650994</v>
      </c>
      <c r="N25" s="18">
        <v>1.2931615891094856</v>
      </c>
      <c r="P25" s="12">
        <v>68</v>
      </c>
      <c r="Q25" s="12">
        <v>49</v>
      </c>
      <c r="R25" s="12"/>
    </row>
    <row r="26" spans="12:18" x14ac:dyDescent="0.35">
      <c r="L26" s="11" t="s">
        <v>21</v>
      </c>
      <c r="M26" s="17">
        <v>2202.3372045990727</v>
      </c>
      <c r="N26" s="18">
        <v>1.2872743754110869</v>
      </c>
      <c r="P26" s="12">
        <v>67</v>
      </c>
      <c r="Q26" s="12">
        <v>48</v>
      </c>
      <c r="R26" s="12"/>
    </row>
    <row r="27" spans="12:18" x14ac:dyDescent="0.35">
      <c r="L27" s="11" t="s">
        <v>12</v>
      </c>
      <c r="M27" s="17">
        <v>1028.051203175753</v>
      </c>
      <c r="N27" s="18">
        <v>1.2943148300442044</v>
      </c>
      <c r="P27" s="12">
        <v>66</v>
      </c>
      <c r="Q27" s="12">
        <v>47</v>
      </c>
      <c r="R27" s="12"/>
    </row>
    <row r="28" spans="12:18" x14ac:dyDescent="0.35">
      <c r="L28" s="11" t="s">
        <v>13</v>
      </c>
      <c r="M28" s="17">
        <v>1605.9127745030494</v>
      </c>
      <c r="N28" s="18">
        <v>1.29647855715158</v>
      </c>
      <c r="P28" s="12">
        <v>65</v>
      </c>
      <c r="Q28" s="12">
        <v>46</v>
      </c>
      <c r="R28" s="12"/>
    </row>
    <row r="29" spans="12:18" x14ac:dyDescent="0.35">
      <c r="L29" s="11" t="s">
        <v>14</v>
      </c>
      <c r="M29" s="17">
        <v>2091.9877036727958</v>
      </c>
      <c r="N29" s="18">
        <v>1.2986422842589564</v>
      </c>
      <c r="P29" s="12">
        <v>64</v>
      </c>
      <c r="Q29" s="12">
        <v>45</v>
      </c>
      <c r="R29" s="12"/>
    </row>
    <row r="30" spans="12:18" x14ac:dyDescent="0.35">
      <c r="L30" s="11" t="s">
        <v>15</v>
      </c>
      <c r="M30" s="17">
        <v>2529.911139669246</v>
      </c>
      <c r="N30" s="18">
        <v>1.3008060113663302</v>
      </c>
      <c r="P30" s="12">
        <v>63</v>
      </c>
      <c r="Q30" s="12">
        <v>44</v>
      </c>
      <c r="R30" s="12"/>
    </row>
    <row r="31" spans="12:18" x14ac:dyDescent="0.35">
      <c r="L31" s="11" t="s">
        <v>22</v>
      </c>
      <c r="M31" s="17">
        <v>1110.0534401033503</v>
      </c>
      <c r="N31" s="18">
        <v>1.3049360165062796</v>
      </c>
      <c r="P31" s="12">
        <v>62</v>
      </c>
      <c r="Q31" s="12">
        <v>43</v>
      </c>
      <c r="R31" s="12"/>
    </row>
    <row r="32" spans="12:18" x14ac:dyDescent="0.35">
      <c r="L32" s="11" t="s">
        <v>23</v>
      </c>
      <c r="M32" s="17">
        <v>1765.8275149314791</v>
      </c>
      <c r="N32" s="18">
        <v>1.2990488028078808</v>
      </c>
      <c r="P32" s="12">
        <v>61</v>
      </c>
      <c r="Q32" s="12">
        <v>42</v>
      </c>
      <c r="R32" s="12"/>
    </row>
    <row r="33" spans="1:18" x14ac:dyDescent="0.35">
      <c r="L33" s="11" t="s">
        <v>24</v>
      </c>
      <c r="M33" s="17">
        <v>2294.711020947228</v>
      </c>
      <c r="N33" s="18">
        <v>1.2931615891094856</v>
      </c>
      <c r="P33" s="12">
        <v>60</v>
      </c>
      <c r="Q33" s="12">
        <v>41</v>
      </c>
      <c r="R33" s="12"/>
    </row>
    <row r="34" spans="1:18" x14ac:dyDescent="0.35">
      <c r="L34" s="11" t="s">
        <v>25</v>
      </c>
      <c r="M34" s="17">
        <v>2745.0513490128938</v>
      </c>
      <c r="N34" s="18">
        <v>1.2872743754110869</v>
      </c>
      <c r="P34" s="12">
        <v>59</v>
      </c>
      <c r="Q34" s="12">
        <v>40</v>
      </c>
      <c r="R34" s="12"/>
    </row>
    <row r="35" spans="1:18" x14ac:dyDescent="0.35">
      <c r="L35" s="29"/>
      <c r="M35" s="30"/>
      <c r="N35" s="31"/>
      <c r="P35" s="12">
        <v>58</v>
      </c>
      <c r="Q35" s="12">
        <v>39</v>
      </c>
      <c r="R35" s="15"/>
    </row>
    <row r="36" spans="1:18" x14ac:dyDescent="0.35">
      <c r="L36" s="29"/>
      <c r="M36" s="30"/>
      <c r="N36" s="31"/>
      <c r="P36" s="12">
        <v>57</v>
      </c>
      <c r="Q36" s="12">
        <v>38</v>
      </c>
      <c r="R36" s="15"/>
    </row>
    <row r="37" spans="1:18" x14ac:dyDescent="0.35">
      <c r="P37" s="12">
        <v>56</v>
      </c>
      <c r="Q37" s="12">
        <v>37</v>
      </c>
      <c r="R37" s="15"/>
    </row>
    <row r="38" spans="1:18" x14ac:dyDescent="0.35">
      <c r="P38" s="12">
        <v>55</v>
      </c>
      <c r="Q38" s="12">
        <v>36</v>
      </c>
      <c r="R38" s="12"/>
    </row>
    <row r="39" spans="1:18" x14ac:dyDescent="0.35">
      <c r="P39" s="12">
        <v>54</v>
      </c>
      <c r="Q39" s="12">
        <v>35</v>
      </c>
      <c r="R39" s="12"/>
    </row>
    <row r="40" spans="1:18" x14ac:dyDescent="0.35">
      <c r="A40" s="34"/>
      <c r="B40" s="34"/>
      <c r="C40" s="34"/>
      <c r="D40" s="34"/>
      <c r="P40" s="12">
        <v>53</v>
      </c>
      <c r="Q40" s="12">
        <v>34</v>
      </c>
      <c r="R40" s="12"/>
    </row>
    <row r="41" spans="1:18" x14ac:dyDescent="0.35">
      <c r="P41" s="12">
        <v>52</v>
      </c>
      <c r="Q41" s="12">
        <v>33</v>
      </c>
      <c r="R41" s="12"/>
    </row>
    <row r="42" spans="1:18" x14ac:dyDescent="0.35">
      <c r="P42" s="12">
        <v>51</v>
      </c>
      <c r="Q42" s="12">
        <v>32</v>
      </c>
      <c r="R42" s="12"/>
    </row>
    <row r="43" spans="1:18" x14ac:dyDescent="0.35">
      <c r="P43" s="12">
        <v>50</v>
      </c>
      <c r="Q43" s="12">
        <v>31</v>
      </c>
      <c r="R43" s="12"/>
    </row>
    <row r="44" spans="1:18" x14ac:dyDescent="0.35">
      <c r="P44" s="12">
        <v>49</v>
      </c>
      <c r="Q44" s="12">
        <v>30</v>
      </c>
      <c r="R44" s="12"/>
    </row>
    <row r="45" spans="1:18" x14ac:dyDescent="0.35">
      <c r="P45" s="12">
        <v>48</v>
      </c>
      <c r="Q45" s="12"/>
      <c r="R45" s="12"/>
    </row>
    <row r="46" spans="1:18" x14ac:dyDescent="0.35">
      <c r="P46" s="12">
        <v>47</v>
      </c>
      <c r="Q46" s="12"/>
      <c r="R46" s="12"/>
    </row>
    <row r="47" spans="1:18" x14ac:dyDescent="0.35">
      <c r="P47" s="12">
        <v>46</v>
      </c>
      <c r="Q47" s="12"/>
      <c r="R47" s="12"/>
    </row>
    <row r="48" spans="1:18" x14ac:dyDescent="0.35">
      <c r="P48" s="12">
        <v>45</v>
      </c>
      <c r="Q48" s="12"/>
      <c r="R48" s="12"/>
    </row>
    <row r="49" spans="16:18" x14ac:dyDescent="0.35">
      <c r="P49" s="12">
        <v>44</v>
      </c>
      <c r="Q49" s="12"/>
      <c r="R49" s="12"/>
    </row>
    <row r="50" spans="16:18" x14ac:dyDescent="0.35">
      <c r="P50" s="12">
        <v>43</v>
      </c>
      <c r="Q50" s="12"/>
      <c r="R50" s="12"/>
    </row>
    <row r="51" spans="16:18" x14ac:dyDescent="0.35">
      <c r="P51" s="12">
        <v>42</v>
      </c>
      <c r="Q51" s="12"/>
      <c r="R51" s="12"/>
    </row>
    <row r="52" spans="16:18" x14ac:dyDescent="0.35">
      <c r="P52" s="12">
        <v>41</v>
      </c>
      <c r="Q52" s="12"/>
      <c r="R52" s="12"/>
    </row>
    <row r="53" spans="16:18" x14ac:dyDescent="0.35">
      <c r="P53" s="12">
        <v>40</v>
      </c>
      <c r="Q53" s="12"/>
      <c r="R53" s="12"/>
    </row>
    <row r="54" spans="16:18" x14ac:dyDescent="0.35">
      <c r="P54" s="12">
        <v>39</v>
      </c>
      <c r="Q54" s="12"/>
      <c r="R54" s="12"/>
    </row>
    <row r="55" spans="16:18" x14ac:dyDescent="0.35">
      <c r="P55" s="12">
        <v>38</v>
      </c>
      <c r="Q55" s="12"/>
      <c r="R55" s="12"/>
    </row>
    <row r="56" spans="16:18" x14ac:dyDescent="0.35">
      <c r="P56" s="12">
        <v>37</v>
      </c>
      <c r="Q56" s="12"/>
      <c r="R56" s="12"/>
    </row>
    <row r="57" spans="16:18" x14ac:dyDescent="0.35">
      <c r="P57" s="12">
        <v>36</v>
      </c>
      <c r="Q57" s="12"/>
      <c r="R57" s="12"/>
    </row>
    <row r="58" spans="16:18" x14ac:dyDescent="0.35">
      <c r="P58" s="12">
        <v>35</v>
      </c>
      <c r="Q58" s="12"/>
      <c r="R58" s="12"/>
    </row>
    <row r="59" spans="16:18" x14ac:dyDescent="0.35">
      <c r="Q59" s="12"/>
    </row>
  </sheetData>
  <mergeCells count="10">
    <mergeCell ref="Z3:AB3"/>
    <mergeCell ref="AC3:AH3"/>
    <mergeCell ref="Z4:AB4"/>
    <mergeCell ref="AS4:BA4"/>
    <mergeCell ref="AS6:BA6"/>
    <mergeCell ref="M1:N1"/>
    <mergeCell ref="Z1:AB1"/>
    <mergeCell ref="AC1:AH1"/>
    <mergeCell ref="Z2:AB2"/>
    <mergeCell ref="AC2:AH2"/>
  </mergeCells>
  <conditionalFormatting sqref="AS15:BA15">
    <cfRule type="cellIs" dxfId="9" priority="11" operator="between">
      <formula>$E$7</formula>
      <formula>$E$8</formula>
    </cfRule>
  </conditionalFormatting>
  <conditionalFormatting sqref="U15">
    <cfRule type="cellIs" dxfId="8" priority="10" operator="between">
      <formula>$H$6</formula>
      <formula>$H$7</formula>
    </cfRule>
  </conditionalFormatting>
  <conditionalFormatting sqref="V15">
    <cfRule type="cellIs" dxfId="7" priority="9" operator="between">
      <formula>$L$6</formula>
      <formula>$L$7</formula>
    </cfRule>
  </conditionalFormatting>
  <conditionalFormatting sqref="W15">
    <cfRule type="cellIs" dxfId="6" priority="8" operator="between">
      <formula>$J$6</formula>
      <formula>$J$7</formula>
    </cfRule>
  </conditionalFormatting>
  <conditionalFormatting sqref="T15">
    <cfRule type="expression" dxfId="5" priority="7">
      <formula>BN15=TRUE</formula>
    </cfRule>
  </conditionalFormatting>
  <conditionalFormatting sqref="AI15:AQ15">
    <cfRule type="expression" dxfId="4" priority="6">
      <formula>AND(AS15&gt;=$E$7,AS15&lt;=$E$8)</formula>
    </cfRule>
  </conditionalFormatting>
  <conditionalFormatting sqref="U4">
    <cfRule type="cellIs" dxfId="3" priority="3" operator="lessThan">
      <formula>50</formula>
    </cfRule>
    <cfRule type="cellIs" dxfId="2" priority="4" operator="greaterThanOrEqual">
      <formula>50</formula>
    </cfRule>
  </conditionalFormatting>
  <conditionalFormatting sqref="U5">
    <cfRule type="cellIs" dxfId="1" priority="1" operator="notBetween">
      <formula>0.5</formula>
      <formula>2</formula>
    </cfRule>
    <cfRule type="cellIs" dxfId="0" priority="2" operator="between">
      <formula>0.5</formula>
      <formula>2</formula>
    </cfRule>
  </conditionalFormatting>
  <pageMargins left="0.39370078740157483" right="0.39370078740157483" top="0.47244094488188981" bottom="1.1811023622047245" header="0.19685039370078741" footer="0.39370078740157483"/>
  <pageSetup paperSize="9" fitToHeight="0" orientation="portrait" r:id="rId1"/>
  <headerFooter>
    <oddHeader>&amp;L&amp;28EXACT starý vs EXACT nová data SZU</oddHeader>
    <oddFooter>&amp;R&amp;20 2017-11-27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1</vt:i4>
      </vt:variant>
    </vt:vector>
  </HeadingPairs>
  <TitlesOfParts>
    <vt:vector size="3" baseType="lpstr">
      <vt:lpstr>Recalculation table</vt:lpstr>
      <vt:lpstr>Nová data tabulka Exact</vt:lpstr>
      <vt:lpstr>'Nová data tabulka Exact'!Udskriftsområde</vt:lpstr>
    </vt:vector>
  </TitlesOfParts>
  <Company>SZU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Dohnal Jakub</dc:creator>
  <cp:lastModifiedBy>Thomas</cp:lastModifiedBy>
  <cp:lastPrinted>2018-07-12T11:59:16Z</cp:lastPrinted>
  <dcterms:created xsi:type="dcterms:W3CDTF">2017-11-21T09:10:26Z</dcterms:created>
  <dcterms:modified xsi:type="dcterms:W3CDTF">2021-05-11T08:47:14Z</dcterms:modified>
</cp:coreProperties>
</file>